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Sheet4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<sst xmlns="http://schemas.openxmlformats.org/spreadsheetml/2006/main" count="130" uniqueCount="91">
  <si>
    <t>Driver Fall Back 40%</t>
  </si>
  <si>
    <t>Nominal Voltage</t>
  </si>
  <si>
    <t xml:space="preserve">Millivolt drive </t>
  </si>
  <si>
    <t>mV</t>
  </si>
  <si>
    <t>mV signal at the receiver minus cable loss</t>
  </si>
  <si>
    <t>15% cable loss</t>
  </si>
  <si>
    <t>100 mV @ receiver</t>
  </si>
  <si>
    <t>80 mV @ receiver</t>
  </si>
  <si>
    <t>SPI-3</t>
  </si>
  <si>
    <t>No driver imbalance, matched assertion and negation</t>
  </si>
  <si>
    <t>Trans FB min to assert (85%)</t>
  </si>
  <si>
    <t>Cable roll off to 85% signal</t>
  </si>
  <si>
    <t>Driver Fall back 33%</t>
  </si>
  <si>
    <t>Trans FB 40% roll off to 60%</t>
  </si>
  <si>
    <t>Trans FB 33% roll off to 60%</t>
  </si>
  <si>
    <t>Tolorance driver</t>
  </si>
  <si>
    <t>Red 80 mV receiver</t>
  </si>
  <si>
    <t>Blue 100 mV receiver</t>
  </si>
  <si>
    <t>Driver Precomp Proposal, Review</t>
  </si>
  <si>
    <t>Paul Aloisi - TI</t>
  </si>
  <si>
    <t>Drive tolerance calculation</t>
  </si>
  <si>
    <t>20 mV @ receiver</t>
  </si>
  <si>
    <t>Worst case, no driver tolerance</t>
  </si>
  <si>
    <t>25% cable &amp; system loss</t>
  </si>
  <si>
    <t>Cable roll off to 60% signal -60 mV crosstalk &amp; Noise</t>
  </si>
  <si>
    <t>99-295 wide pulse</t>
  </si>
  <si>
    <t>Adding terminator tolerance and connector loss reduces 150 mV by 10% = 135 mV</t>
  </si>
  <si>
    <t>Crosstalk and system noise subtracts 60 mV leaving 75 mV for the receiver</t>
  </si>
  <si>
    <t>Minimum signal at the receiver</t>
  </si>
  <si>
    <t>SPI-2/3 calculations</t>
  </si>
  <si>
    <t>Should be SPI-2/3</t>
  </si>
  <si>
    <t>SPI-2/3 driver</t>
  </si>
  <si>
    <t>Minimum drive level did not work in the worst case.</t>
  </si>
  <si>
    <t>(((0.85*V)+50+Vfb)*0.6)-Vfb)-60</t>
  </si>
  <si>
    <t>Driver diagram</t>
  </si>
  <si>
    <t>Improved Tolerance driver asymmetry</t>
  </si>
  <si>
    <t xml:space="preserve">No Fall back </t>
  </si>
  <si>
    <t>Purple 20 mV receiver - active Filter</t>
  </si>
  <si>
    <t>Bold Black does not work without Adaptive Active Filter</t>
  </si>
  <si>
    <t>Adaptive Active filter required, eye pattern</t>
  </si>
  <si>
    <t>-5 mV receiver required - Adaptive Active Filter - no eye pattern</t>
  </si>
  <si>
    <t>Precomp off</t>
  </si>
  <si>
    <t>Assuming perfect driver assymetry</t>
  </si>
  <si>
    <t>Driver Assymetry caclulations</t>
  </si>
  <si>
    <t>Signals levels below are at the connector of the receiving device, use the numbers with DC loss</t>
  </si>
  <si>
    <t>Recommended -100 mV Adaptive Active Filter</t>
  </si>
  <si>
    <t>Seagate numbers limits configuration</t>
  </si>
  <si>
    <t>No Fall back - toleranced 10%</t>
  </si>
  <si>
    <t>500 mV strong driver</t>
  </si>
  <si>
    <t>35 mV</t>
  </si>
  <si>
    <t>Driver Fall Back 50%</t>
  </si>
  <si>
    <t>SPI-3 spec</t>
  </si>
  <si>
    <t>SPI-4 spec</t>
  </si>
  <si>
    <t xml:space="preserve"> + Vos</t>
  </si>
  <si>
    <t xml:space="preserve"> m * Vn</t>
  </si>
  <si>
    <t xml:space="preserve"> Va =</t>
  </si>
  <si>
    <t xml:space="preserve">  Va =</t>
  </si>
  <si>
    <t xml:space="preserve">  max</t>
  </si>
  <si>
    <t xml:space="preserve">  min</t>
  </si>
  <si>
    <t>area</t>
  </si>
  <si>
    <t>ratio</t>
  </si>
  <si>
    <t>Color code</t>
  </si>
  <si>
    <t>Min high drive, for 370 mV</t>
  </si>
  <si>
    <t>100 mV receiver required, 60 mV Crosstalk and System Noise</t>
  </si>
  <si>
    <t>Trans FB 50% roll off to 60%</t>
  </si>
  <si>
    <t>23% DC loss from cable, connectors and terminators</t>
  </si>
  <si>
    <t>((((V+VFB)*.6)-Vfb)*0.77)-60)</t>
  </si>
  <si>
    <t>Grey is illegal</t>
  </si>
  <si>
    <t>DC loss of the backplane is much higher, 16 ohms for 15 slot backplane</t>
  </si>
  <si>
    <t>4 ohms cable DC</t>
  </si>
  <si>
    <t>23% DC and 5% ACcable &amp; system loss</t>
  </si>
  <si>
    <t>Additional Data on backplane losses shows that SPI-2 and SPI-3 should have been 28% loss.</t>
  </si>
  <si>
    <t>Driver Fallback 22%</t>
  </si>
  <si>
    <t>Trans FB 22% roll off to 60%</t>
  </si>
  <si>
    <t>60 - 78% weak</t>
  </si>
  <si>
    <t>66 - 50% weak</t>
  </si>
  <si>
    <t>Weak 78% roll off to 60%</t>
  </si>
  <si>
    <t>Weak 66% roll off to 60%</t>
  </si>
  <si>
    <t>Weak 60% roll off to 60%</t>
  </si>
  <si>
    <t>Weak 50% roll off to 60%</t>
  </si>
  <si>
    <t>Weak 78% roll off to 70%</t>
  </si>
  <si>
    <t>Weak 66% roll off to 70%</t>
  </si>
  <si>
    <t>Weak 60% roll off to 70%</t>
  </si>
  <si>
    <t>Weak 50% roll off to 70%</t>
  </si>
  <si>
    <t>45 mV receiver needed minimum</t>
  </si>
  <si>
    <t>DC &amp; AC Loss (((0.77*((V*.9)-23))+(Vfb*.77))*0.7)-(Vfb*.77))-60</t>
  </si>
  <si>
    <t>DC &amp; AC Loss (((0.77*((V*0.9)-23))+(Vfb*.77))*0.6)-(Vfb*.77))-60</t>
  </si>
  <si>
    <t>100 mV Receiver needed for minimum</t>
  </si>
  <si>
    <t>Without DC loss</t>
  </si>
  <si>
    <t>-30 mV receiver required - Adaptive Active Filter - no eye pattern</t>
  </si>
  <si>
    <t>00-382r1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</si>
</sst>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  <numFmt numFmtId="168" formatCode="0.0E+00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9"/>
      <name val="Arial"/>
      <family val="0"/>
    </font>
    <font>
      <b/>
      <sz val="18"/>
      <name val="Arial"/>
      <family val="0"/>
    </font>
    <font>
      <sz val="18.5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33"/>
      <name val="Arial"/>
      <family val="2"/>
    </font>
    <font>
      <b/>
      <sz val="10"/>
      <color indexed="39"/>
      <name val="Arial"/>
      <family val="2"/>
    </font>
    <font>
      <b/>
      <sz val="10"/>
      <color indexed="23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168" fontId="1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68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9" fontId="1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2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3" borderId="1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" fillId="3" borderId="0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3" borderId="17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0" fillId="3" borderId="19" xfId="0" applyFont="1" applyFill="1" applyBorder="1" applyAlignment="1">
      <alignment/>
    </xf>
    <xf numFmtId="0" fontId="20" fillId="3" borderId="20" xfId="0" applyFont="1" applyFill="1" applyBorder="1" applyAlignment="1">
      <alignment/>
    </xf>
    <xf numFmtId="0" fontId="21" fillId="3" borderId="17" xfId="0" applyFont="1" applyFill="1" applyBorder="1" applyAlignment="1">
      <alignment/>
    </xf>
    <xf numFmtId="0" fontId="21" fillId="3" borderId="16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21" fillId="3" borderId="3" xfId="0" applyFont="1" applyFill="1" applyBorder="1" applyAlignment="1">
      <alignment/>
    </xf>
    <xf numFmtId="0" fontId="22" fillId="3" borderId="3" xfId="0" applyFont="1" applyFill="1" applyBorder="1" applyAlignment="1">
      <alignment/>
    </xf>
    <xf numFmtId="0" fontId="23" fillId="3" borderId="12" xfId="0" applyFont="1" applyFill="1" applyBorder="1" applyAlignment="1">
      <alignment/>
    </xf>
    <xf numFmtId="0" fontId="21" fillId="3" borderId="19" xfId="0" applyFont="1" applyFill="1" applyBorder="1" applyAlignment="1">
      <alignment/>
    </xf>
    <xf numFmtId="0" fontId="21" fillId="3" borderId="20" xfId="0" applyFont="1" applyFill="1" applyBorder="1" applyAlignment="1">
      <alignment/>
    </xf>
    <xf numFmtId="0" fontId="22" fillId="3" borderId="16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3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0" fillId="0" borderId="0" xfId="0" applyFont="1" applyAlignment="1">
      <alignment/>
    </xf>
    <xf numFmtId="0" fontId="4" fillId="2" borderId="21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Va vs Vn with an Ideal Load</a:t>
            </a:r>
          </a:p>
        </c:rich>
      </c:tx>
      <c:layout>
        <c:manualLayout>
          <c:xMode val="factor"/>
          <c:yMode val="factor"/>
          <c:x val="0.02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5"/>
          <c:w val="0.851"/>
          <c:h val="0.9005"/>
        </c:manualLayout>
      </c:layout>
      <c:scatterChart>
        <c:scatterStyle val="line"/>
        <c:varyColors val="0"/>
        <c:ser>
          <c:idx val="0"/>
          <c:order val="0"/>
          <c:tx>
            <c:v>spi 3 min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'[1]table'!$B$6:$B$24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326</c:v>
                </c:pt>
                <c:pt idx="8">
                  <c:v>461.23999999999995</c:v>
                </c:pt>
                <c:pt idx="9">
                  <c:v>491.59999999999997</c:v>
                </c:pt>
                <c:pt idx="10">
                  <c:v>505.4</c:v>
                </c:pt>
                <c:pt idx="11">
                  <c:v>519.2</c:v>
                </c:pt>
                <c:pt idx="12">
                  <c:v>533</c:v>
                </c:pt>
                <c:pt idx="13">
                  <c:v>546.8</c:v>
                </c:pt>
                <c:pt idx="14">
                  <c:v>560.5999999999999</c:v>
                </c:pt>
                <c:pt idx="15">
                  <c:v>574.4</c:v>
                </c:pt>
                <c:pt idx="16">
                  <c:v>588.1999999999999</c:v>
                </c:pt>
                <c:pt idx="17">
                  <c:v>601.9309999999999</c:v>
                </c:pt>
                <c:pt idx="18">
                  <c:v>800</c:v>
                </c:pt>
              </c:numCache>
            </c:numRef>
          </c:yVal>
          <c:smooth val="0"/>
        </c:ser>
        <c:ser>
          <c:idx val="1"/>
          <c:order val="1"/>
          <c:tx>
            <c:v>spi 3 max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'[1]table'!$C$6:$C$24</c:f>
              <c:numCache>
                <c:ptCount val="19"/>
                <c:pt idx="0">
                  <c:v>0</c:v>
                </c:pt>
                <c:pt idx="1">
                  <c:v>399</c:v>
                </c:pt>
                <c:pt idx="2">
                  <c:v>413.5</c:v>
                </c:pt>
                <c:pt idx="3">
                  <c:v>428</c:v>
                </c:pt>
                <c:pt idx="4">
                  <c:v>442.5</c:v>
                </c:pt>
                <c:pt idx="5">
                  <c:v>457</c:v>
                </c:pt>
                <c:pt idx="6">
                  <c:v>486</c:v>
                </c:pt>
                <c:pt idx="7">
                  <c:v>515</c:v>
                </c:pt>
                <c:pt idx="8">
                  <c:v>799.1999999999999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2"/>
          <c:order val="2"/>
          <c:tx>
            <c:v>red  min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'[1]table'!$E$6:$E$24</c:f>
              <c:numCache>
                <c:ptCount val="19"/>
                <c:pt idx="0">
                  <c:v>0</c:v>
                </c:pt>
                <c:pt idx="1">
                  <c:v>322</c:v>
                </c:pt>
                <c:pt idx="2">
                  <c:v>330.5</c:v>
                </c:pt>
                <c:pt idx="3">
                  <c:v>339</c:v>
                </c:pt>
                <c:pt idx="4">
                  <c:v>347.5</c:v>
                </c:pt>
                <c:pt idx="5">
                  <c:v>356</c:v>
                </c:pt>
                <c:pt idx="6">
                  <c:v>373</c:v>
                </c:pt>
                <c:pt idx="7">
                  <c:v>390</c:v>
                </c:pt>
                <c:pt idx="8">
                  <c:v>556.5999999999999</c:v>
                </c:pt>
                <c:pt idx="9">
                  <c:v>594</c:v>
                </c:pt>
                <c:pt idx="10">
                  <c:v>611</c:v>
                </c:pt>
                <c:pt idx="11">
                  <c:v>628</c:v>
                </c:pt>
                <c:pt idx="12">
                  <c:v>645</c:v>
                </c:pt>
                <c:pt idx="13">
                  <c:v>662</c:v>
                </c:pt>
                <c:pt idx="14">
                  <c:v>679</c:v>
                </c:pt>
                <c:pt idx="15">
                  <c:v>696</c:v>
                </c:pt>
                <c:pt idx="16">
                  <c:v>713</c:v>
                </c:pt>
                <c:pt idx="17">
                  <c:v>729.915</c:v>
                </c:pt>
                <c:pt idx="18">
                  <c:v>800</c:v>
                </c:pt>
              </c:numCache>
            </c:numRef>
          </c:yVal>
          <c:smooth val="0"/>
        </c:ser>
        <c:ser>
          <c:idx val="3"/>
          <c:order val="3"/>
          <c:tx>
            <c:v>red max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'[1]table'!$F$6:$F$24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322.49999999999994</c:v>
                </c:pt>
                <c:pt idx="3">
                  <c:v>333.99999999999994</c:v>
                </c:pt>
                <c:pt idx="4">
                  <c:v>345.49999999999994</c:v>
                </c:pt>
                <c:pt idx="5">
                  <c:v>356.99999999999994</c:v>
                </c:pt>
                <c:pt idx="6">
                  <c:v>379.99999999999994</c:v>
                </c:pt>
                <c:pt idx="7">
                  <c:v>402.99999999999994</c:v>
                </c:pt>
                <c:pt idx="8">
                  <c:v>628.4</c:v>
                </c:pt>
                <c:pt idx="9">
                  <c:v>679</c:v>
                </c:pt>
                <c:pt idx="10">
                  <c:v>701.9999999999999</c:v>
                </c:pt>
                <c:pt idx="11">
                  <c:v>724.9999999999999</c:v>
                </c:pt>
                <c:pt idx="12">
                  <c:v>747.9999999999999</c:v>
                </c:pt>
                <c:pt idx="13">
                  <c:v>770.9999999999999</c:v>
                </c:pt>
                <c:pt idx="14">
                  <c:v>793.9999999999999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4"/>
          <c:order val="4"/>
          <c:tx>
            <c:v>blue min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'[1]table'!$H$6:$H$24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323</c:v>
                </c:pt>
                <c:pt idx="7">
                  <c:v>340</c:v>
                </c:pt>
                <c:pt idx="8">
                  <c:v>506.59999999999997</c:v>
                </c:pt>
                <c:pt idx="9">
                  <c:v>544</c:v>
                </c:pt>
                <c:pt idx="10">
                  <c:v>561</c:v>
                </c:pt>
                <c:pt idx="11">
                  <c:v>578</c:v>
                </c:pt>
                <c:pt idx="12">
                  <c:v>595</c:v>
                </c:pt>
                <c:pt idx="13">
                  <c:v>612</c:v>
                </c:pt>
                <c:pt idx="14">
                  <c:v>629</c:v>
                </c:pt>
                <c:pt idx="15">
                  <c:v>646</c:v>
                </c:pt>
                <c:pt idx="16">
                  <c:v>663</c:v>
                </c:pt>
                <c:pt idx="17">
                  <c:v>679.915</c:v>
                </c:pt>
                <c:pt idx="18">
                  <c:v>800</c:v>
                </c:pt>
              </c:numCache>
            </c:numRef>
          </c:yVal>
          <c:smooth val="0"/>
        </c:ser>
        <c:ser>
          <c:idx val="5"/>
          <c:order val="5"/>
          <c:tx>
            <c:v>blue max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'[1]table'!$I$6:$I$24</c:f>
              <c:numCache>
                <c:ptCount val="19"/>
                <c:pt idx="0">
                  <c:v>0</c:v>
                </c:pt>
                <c:pt idx="1">
                  <c:v>368</c:v>
                </c:pt>
                <c:pt idx="2">
                  <c:v>379.49999999999994</c:v>
                </c:pt>
                <c:pt idx="3">
                  <c:v>390.99999999999994</c:v>
                </c:pt>
                <c:pt idx="4">
                  <c:v>402.49999999999994</c:v>
                </c:pt>
                <c:pt idx="5">
                  <c:v>413.99999999999994</c:v>
                </c:pt>
                <c:pt idx="6">
                  <c:v>436.99999999999994</c:v>
                </c:pt>
                <c:pt idx="7">
                  <c:v>459.99999999999994</c:v>
                </c:pt>
                <c:pt idx="8">
                  <c:v>685.4</c:v>
                </c:pt>
                <c:pt idx="9">
                  <c:v>736</c:v>
                </c:pt>
                <c:pt idx="10">
                  <c:v>758.9999999999999</c:v>
                </c:pt>
                <c:pt idx="11">
                  <c:v>781.9999999999999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6"/>
          <c:order val="6"/>
          <c:tx>
            <c:v>pink min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'[1]table'!$K$6:$K$24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337</c:v>
                </c:pt>
                <c:pt idx="8">
                  <c:v>513.4</c:v>
                </c:pt>
                <c:pt idx="9">
                  <c:v>553</c:v>
                </c:pt>
                <c:pt idx="10">
                  <c:v>571</c:v>
                </c:pt>
                <c:pt idx="11">
                  <c:v>589</c:v>
                </c:pt>
                <c:pt idx="12">
                  <c:v>607</c:v>
                </c:pt>
                <c:pt idx="13">
                  <c:v>625</c:v>
                </c:pt>
                <c:pt idx="14">
                  <c:v>643</c:v>
                </c:pt>
                <c:pt idx="15">
                  <c:v>661</c:v>
                </c:pt>
                <c:pt idx="16">
                  <c:v>679</c:v>
                </c:pt>
                <c:pt idx="17">
                  <c:v>696.91</c:v>
                </c:pt>
                <c:pt idx="18">
                  <c:v>800</c:v>
                </c:pt>
              </c:numCache>
            </c:numRef>
          </c:yVal>
          <c:smooth val="0"/>
        </c:ser>
        <c:ser>
          <c:idx val="7"/>
          <c:order val="7"/>
          <c:tx>
            <c:v>pink max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'[1]table'!$L$6:$L$24</c:f>
              <c:numCache>
                <c:ptCount val="19"/>
                <c:pt idx="0">
                  <c:v>0</c:v>
                </c:pt>
                <c:pt idx="1">
                  <c:v>381.20000000000005</c:v>
                </c:pt>
                <c:pt idx="2">
                  <c:v>392.3</c:v>
                </c:pt>
                <c:pt idx="3">
                  <c:v>403.40000000000003</c:v>
                </c:pt>
                <c:pt idx="4">
                  <c:v>414.50000000000006</c:v>
                </c:pt>
                <c:pt idx="5">
                  <c:v>425.6</c:v>
                </c:pt>
                <c:pt idx="6">
                  <c:v>447.8</c:v>
                </c:pt>
                <c:pt idx="7">
                  <c:v>470.00000000000006</c:v>
                </c:pt>
                <c:pt idx="8">
                  <c:v>687.5600000000001</c:v>
                </c:pt>
                <c:pt idx="9">
                  <c:v>736.4000000000001</c:v>
                </c:pt>
                <c:pt idx="10">
                  <c:v>758.6</c:v>
                </c:pt>
                <c:pt idx="11">
                  <c:v>780.8000000000001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axId val="61735244"/>
        <c:axId val="18746285"/>
      </c:scatterChart>
      <c:valAx>
        <c:axId val="61735244"/>
        <c:scaling>
          <c:orientation val="minMax"/>
          <c:max val="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Vnegation</a:t>
                </a:r>
              </a:p>
            </c:rich>
          </c:tx>
          <c:layout>
            <c:manualLayout>
              <c:xMode val="factor"/>
              <c:yMode val="factor"/>
              <c:x val="0.037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18746285"/>
        <c:crosses val="autoZero"/>
        <c:crossBetween val="midCat"/>
        <c:dispUnits/>
        <c:majorUnit val="100"/>
        <c:minorUnit val="20"/>
      </c:valAx>
      <c:valAx>
        <c:axId val="18746285"/>
        <c:scaling>
          <c:orientation val="minMax"/>
          <c:max val="8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Vassertion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61735244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dash"/>
        </a:ln>
      </c:spPr>
    </c:plotArea>
    <c:legend>
      <c:legendPos val="r"/>
      <c:layout>
        <c:manualLayout>
          <c:xMode val="edge"/>
          <c:yMode val="edge"/>
          <c:x val="0.70275"/>
          <c:y val="0.5915"/>
          <c:w val="0.177"/>
          <c:h val="0.20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104775</xdr:rowOff>
    </xdr:from>
    <xdr:to>
      <xdr:col>13</xdr:col>
      <xdr:colOff>466725</xdr:colOff>
      <xdr:row>86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957262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38100</xdr:rowOff>
    </xdr:from>
    <xdr:to>
      <xdr:col>12</xdr:col>
      <xdr:colOff>571500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7625" y="1009650"/>
        <a:ext cx="7839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ot_wed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t"/>
      <sheetName val="table"/>
      <sheetName val="Sheet3"/>
    </sheetNames>
    <sheetDataSet>
      <sheetData sheetId="1">
        <row r="6">
          <cell r="A6">
            <v>319.9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</row>
        <row r="7">
          <cell r="A7">
            <v>320</v>
          </cell>
          <cell r="B7">
            <v>320</v>
          </cell>
          <cell r="C7">
            <v>399</v>
          </cell>
          <cell r="E7">
            <v>322</v>
          </cell>
          <cell r="F7">
            <v>320</v>
          </cell>
          <cell r="H7">
            <v>320</v>
          </cell>
          <cell r="I7">
            <v>368</v>
          </cell>
          <cell r="K7">
            <v>320</v>
          </cell>
          <cell r="L7">
            <v>381.20000000000005</v>
          </cell>
        </row>
        <row r="8">
          <cell r="A8">
            <v>330</v>
          </cell>
          <cell r="B8">
            <v>320</v>
          </cell>
          <cell r="C8">
            <v>413.5</v>
          </cell>
          <cell r="E8">
            <v>330.5</v>
          </cell>
          <cell r="F8">
            <v>322.49999999999994</v>
          </cell>
          <cell r="H8">
            <v>320</v>
          </cell>
          <cell r="I8">
            <v>379.49999999999994</v>
          </cell>
          <cell r="K8">
            <v>320</v>
          </cell>
          <cell r="L8">
            <v>392.3</v>
          </cell>
        </row>
        <row r="9">
          <cell r="A9">
            <v>340</v>
          </cell>
          <cell r="B9">
            <v>320</v>
          </cell>
          <cell r="C9">
            <v>428</v>
          </cell>
          <cell r="E9">
            <v>339</v>
          </cell>
          <cell r="F9">
            <v>333.99999999999994</v>
          </cell>
          <cell r="H9">
            <v>320</v>
          </cell>
          <cell r="I9">
            <v>390.99999999999994</v>
          </cell>
          <cell r="K9">
            <v>320</v>
          </cell>
          <cell r="L9">
            <v>403.40000000000003</v>
          </cell>
        </row>
        <row r="10">
          <cell r="A10">
            <v>350</v>
          </cell>
          <cell r="B10">
            <v>320</v>
          </cell>
          <cell r="C10">
            <v>442.5</v>
          </cell>
          <cell r="E10">
            <v>347.5</v>
          </cell>
          <cell r="F10">
            <v>345.49999999999994</v>
          </cell>
          <cell r="H10">
            <v>320</v>
          </cell>
          <cell r="I10">
            <v>402.49999999999994</v>
          </cell>
          <cell r="K10">
            <v>320</v>
          </cell>
          <cell r="L10">
            <v>414.50000000000006</v>
          </cell>
        </row>
        <row r="11">
          <cell r="A11">
            <v>360</v>
          </cell>
          <cell r="B11">
            <v>320</v>
          </cell>
          <cell r="C11">
            <v>457</v>
          </cell>
          <cell r="E11">
            <v>356</v>
          </cell>
          <cell r="F11">
            <v>356.99999999999994</v>
          </cell>
          <cell r="H11">
            <v>320</v>
          </cell>
          <cell r="I11">
            <v>413.99999999999994</v>
          </cell>
          <cell r="K11">
            <v>320</v>
          </cell>
          <cell r="L11">
            <v>425.6</v>
          </cell>
        </row>
        <row r="12">
          <cell r="A12">
            <v>380</v>
          </cell>
          <cell r="B12">
            <v>320</v>
          </cell>
          <cell r="C12">
            <v>486</v>
          </cell>
          <cell r="E12">
            <v>373</v>
          </cell>
          <cell r="F12">
            <v>379.99999999999994</v>
          </cell>
          <cell r="H12">
            <v>323</v>
          </cell>
          <cell r="I12">
            <v>436.99999999999994</v>
          </cell>
          <cell r="K12">
            <v>320</v>
          </cell>
          <cell r="L12">
            <v>447.8</v>
          </cell>
        </row>
        <row r="13">
          <cell r="A13">
            <v>400</v>
          </cell>
          <cell r="B13">
            <v>326</v>
          </cell>
          <cell r="C13">
            <v>515</v>
          </cell>
          <cell r="E13">
            <v>390</v>
          </cell>
          <cell r="F13">
            <v>402.99999999999994</v>
          </cell>
          <cell r="H13">
            <v>340</v>
          </cell>
          <cell r="I13">
            <v>459.99999999999994</v>
          </cell>
          <cell r="K13">
            <v>337</v>
          </cell>
          <cell r="L13">
            <v>470.00000000000006</v>
          </cell>
        </row>
        <row r="14">
          <cell r="A14">
            <v>596</v>
          </cell>
          <cell r="B14">
            <v>461.23999999999995</v>
          </cell>
          <cell r="C14">
            <v>799.1999999999999</v>
          </cell>
          <cell r="E14">
            <v>556.5999999999999</v>
          </cell>
          <cell r="F14">
            <v>628.4</v>
          </cell>
          <cell r="H14">
            <v>506.59999999999997</v>
          </cell>
          <cell r="I14">
            <v>685.4</v>
          </cell>
          <cell r="K14">
            <v>513.4</v>
          </cell>
          <cell r="L14">
            <v>687.5600000000001</v>
          </cell>
        </row>
        <row r="15">
          <cell r="A15">
            <v>640</v>
          </cell>
          <cell r="B15">
            <v>491.59999999999997</v>
          </cell>
          <cell r="C15">
            <v>800</v>
          </cell>
          <cell r="E15">
            <v>594</v>
          </cell>
          <cell r="F15">
            <v>679</v>
          </cell>
          <cell r="H15">
            <v>544</v>
          </cell>
          <cell r="I15">
            <v>736</v>
          </cell>
          <cell r="K15">
            <v>553</v>
          </cell>
          <cell r="L15">
            <v>736.4000000000001</v>
          </cell>
        </row>
        <row r="16">
          <cell r="A16">
            <v>660</v>
          </cell>
          <cell r="B16">
            <v>505.4</v>
          </cell>
          <cell r="C16">
            <v>800</v>
          </cell>
          <cell r="E16">
            <v>611</v>
          </cell>
          <cell r="F16">
            <v>701.9999999999999</v>
          </cell>
          <cell r="H16">
            <v>561</v>
          </cell>
          <cell r="I16">
            <v>758.9999999999999</v>
          </cell>
          <cell r="K16">
            <v>571</v>
          </cell>
          <cell r="L16">
            <v>758.6</v>
          </cell>
        </row>
        <row r="17">
          <cell r="A17">
            <v>680</v>
          </cell>
          <cell r="B17">
            <v>519.2</v>
          </cell>
          <cell r="C17">
            <v>800</v>
          </cell>
          <cell r="E17">
            <v>628</v>
          </cell>
          <cell r="F17">
            <v>724.9999999999999</v>
          </cell>
          <cell r="H17">
            <v>578</v>
          </cell>
          <cell r="I17">
            <v>781.9999999999999</v>
          </cell>
          <cell r="K17">
            <v>589</v>
          </cell>
          <cell r="L17">
            <v>780.8000000000001</v>
          </cell>
        </row>
        <row r="18">
          <cell r="A18">
            <v>700</v>
          </cell>
          <cell r="B18">
            <v>533</v>
          </cell>
          <cell r="C18">
            <v>800</v>
          </cell>
          <cell r="E18">
            <v>645</v>
          </cell>
          <cell r="F18">
            <v>747.9999999999999</v>
          </cell>
          <cell r="H18">
            <v>595</v>
          </cell>
          <cell r="I18">
            <v>800</v>
          </cell>
          <cell r="K18">
            <v>607</v>
          </cell>
          <cell r="L18">
            <v>800</v>
          </cell>
        </row>
        <row r="19">
          <cell r="A19">
            <v>720</v>
          </cell>
          <cell r="B19">
            <v>546.8</v>
          </cell>
          <cell r="C19">
            <v>800</v>
          </cell>
          <cell r="E19">
            <v>662</v>
          </cell>
          <cell r="F19">
            <v>770.9999999999999</v>
          </cell>
          <cell r="H19">
            <v>612</v>
          </cell>
          <cell r="I19">
            <v>800</v>
          </cell>
          <cell r="K19">
            <v>625</v>
          </cell>
          <cell r="L19">
            <v>800</v>
          </cell>
        </row>
        <row r="20">
          <cell r="A20">
            <v>740</v>
          </cell>
          <cell r="B20">
            <v>560.5999999999999</v>
          </cell>
          <cell r="C20">
            <v>800</v>
          </cell>
          <cell r="E20">
            <v>679</v>
          </cell>
          <cell r="F20">
            <v>793.9999999999999</v>
          </cell>
          <cell r="H20">
            <v>629</v>
          </cell>
          <cell r="I20">
            <v>800</v>
          </cell>
          <cell r="K20">
            <v>643</v>
          </cell>
          <cell r="L20">
            <v>800</v>
          </cell>
        </row>
        <row r="21">
          <cell r="A21">
            <v>760</v>
          </cell>
          <cell r="B21">
            <v>574.4</v>
          </cell>
          <cell r="C21">
            <v>800</v>
          </cell>
          <cell r="E21">
            <v>696</v>
          </cell>
          <cell r="F21">
            <v>800</v>
          </cell>
          <cell r="H21">
            <v>646</v>
          </cell>
          <cell r="I21">
            <v>800</v>
          </cell>
          <cell r="K21">
            <v>661</v>
          </cell>
          <cell r="L21">
            <v>800</v>
          </cell>
        </row>
        <row r="22">
          <cell r="A22">
            <v>780</v>
          </cell>
          <cell r="B22">
            <v>588.1999999999999</v>
          </cell>
          <cell r="C22">
            <v>800</v>
          </cell>
          <cell r="E22">
            <v>713</v>
          </cell>
          <cell r="F22">
            <v>800</v>
          </cell>
          <cell r="H22">
            <v>663</v>
          </cell>
          <cell r="I22">
            <v>800</v>
          </cell>
          <cell r="K22">
            <v>679</v>
          </cell>
          <cell r="L22">
            <v>800</v>
          </cell>
        </row>
        <row r="23">
          <cell r="A23">
            <v>799.9</v>
          </cell>
          <cell r="B23">
            <v>601.9309999999999</v>
          </cell>
          <cell r="C23">
            <v>800</v>
          </cell>
          <cell r="E23">
            <v>729.915</v>
          </cell>
          <cell r="F23">
            <v>800</v>
          </cell>
          <cell r="H23">
            <v>679.915</v>
          </cell>
          <cell r="I23">
            <v>800</v>
          </cell>
          <cell r="K23">
            <v>696.91</v>
          </cell>
          <cell r="L23">
            <v>800</v>
          </cell>
        </row>
        <row r="24">
          <cell r="A24">
            <v>800</v>
          </cell>
          <cell r="B24">
            <v>800</v>
          </cell>
          <cell r="C24">
            <v>800</v>
          </cell>
          <cell r="E24">
            <v>800</v>
          </cell>
          <cell r="F24">
            <v>800</v>
          </cell>
          <cell r="H24">
            <v>800</v>
          </cell>
          <cell r="I24">
            <v>800</v>
          </cell>
          <cell r="K24">
            <v>800</v>
          </cell>
          <cell r="L24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K13" sqref="K13"/>
    </sheetView>
  </sheetViews>
  <sheetFormatPr defaultColWidth="9.140625" defaultRowHeight="12.75"/>
  <sheetData>
    <row r="1" spans="1:12" ht="12.75">
      <c r="A1">
        <v>319.9</v>
      </c>
      <c r="B1" s="52">
        <f>MIN(800,MAX(320,($A1*$B$4+$C$4)))*($A1&gt;=320)*($A1&lt;800)+800*($A1&gt;=800)</f>
        <v>0</v>
      </c>
      <c r="C1" s="22">
        <f>MIN(800,MAX(320,($A1*$B$3+$C$3)))*($A1&gt;=320)*($A1&lt;800)+800*($A1&gt;=800)</f>
        <v>0</v>
      </c>
      <c r="D1" s="53"/>
      <c r="E1" s="52">
        <f>MIN(800,MAX(320,($A1*$E$4+$F$4)))*($A1&gt;=320)*($A1&lt;800)+800*($A1&gt;=800)</f>
        <v>0</v>
      </c>
      <c r="F1" s="22">
        <f>MIN(800,MAX(320,($A1*$E$3+$F$3)))*($A1&gt;=320)*($A1&lt;800)+800*($A1&gt;=800)</f>
        <v>0</v>
      </c>
      <c r="G1" s="53"/>
      <c r="H1" s="52">
        <f>MIN(800,MAX(320,($A1*$H$4+$I$4)))*($A1&gt;=320)*($A1&lt;800)+800*($A1&gt;=800)</f>
        <v>0</v>
      </c>
      <c r="I1" s="22">
        <f>MIN(800,MAX(320,($A1*$H$3+$I$3)))*($A1&gt;=320)*($A1&lt;800)+800*($A1&gt;=800)</f>
        <v>0</v>
      </c>
      <c r="J1" s="53"/>
      <c r="K1" s="52">
        <f aca="true" t="shared" si="0" ref="K1:K10">MIN(800,MAX(320,($A1*$K$4+$L$4)))*($A1&gt;=320)*($A1&lt;800)+800*($A1&gt;=800)</f>
        <v>0</v>
      </c>
      <c r="L1" s="22">
        <f>MIN(800,MAX(320,($A1*$K$3+$L$3)))*($A1&gt;=320)*($A1&lt;800)+800*($A1&gt;=800)</f>
        <v>0</v>
      </c>
    </row>
    <row r="2" spans="1:12" ht="12.75">
      <c r="A2">
        <v>320</v>
      </c>
      <c r="B2" s="52">
        <f>MIN(800,MAX(320,($A2*$B$4+$C$4)))*($A2&gt;=320)*($A2&lt;800)+800*($A2&gt;=800)</f>
        <v>800</v>
      </c>
      <c r="C2" s="22">
        <f>MIN(800,MAX(320,($A2*$B$3+$C$3)))*($A2&gt;=320)*($A2&lt;800)+800*($A2&gt;=800)</f>
        <v>800</v>
      </c>
      <c r="D2" s="53"/>
      <c r="E2" s="52">
        <f>MIN(800,MAX(320,($A2*$E$4+$F$4)))*($A2&gt;=320)*($A2&lt;800)+800*($A2&gt;=800)</f>
        <v>322</v>
      </c>
      <c r="F2" s="22">
        <f>MIN(800,MAX(320,($A2*$E$3+$F$3)))*($A2&gt;=320)*($A2&lt;800)+800*($A2&gt;=800)</f>
        <v>320</v>
      </c>
      <c r="G2" s="53"/>
      <c r="H2" s="52">
        <f>MIN(800,MAX(320,($A2*$H$4+$I$4)))*($A2&gt;=320)*($A2&lt;800)+800*($A2&gt;=800)</f>
        <v>320</v>
      </c>
      <c r="I2" s="22">
        <f>MIN(800,MAX(320,($A2*$H$3+$I$3)))*($A2&gt;=320)*($A2&lt;800)+800*($A2&gt;=800)</f>
        <v>368</v>
      </c>
      <c r="J2" s="53"/>
      <c r="K2" s="52">
        <f t="shared" si="0"/>
        <v>0</v>
      </c>
      <c r="L2" s="22">
        <f>MIN(800,MAX(320,($A2*$K$3+$L$3)))*($A2&gt;=320)*($A2&lt;800)+800*($A2&gt;=800)</f>
        <v>381.20000000000005</v>
      </c>
    </row>
    <row r="3" spans="1:12" ht="12.75">
      <c r="A3">
        <f>$A2+10</f>
        <v>330</v>
      </c>
      <c r="B3" s="52">
        <f aca="true" t="shared" si="1" ref="B3:B19">MIN(800,MAX(320,($A3*0.69+50)))*($A3&gt;=320)*($A3&lt;800)+800*($A3&gt;=800)</f>
        <v>320</v>
      </c>
      <c r="C3" s="22">
        <f aca="true" t="shared" si="2" ref="C3:C19">MIN(800,MAX(320,($A3*1.45-65)))*($A3&gt;=320)*($A3&lt;800)+800*($A3&gt;=800)</f>
        <v>413.5</v>
      </c>
      <c r="D3" s="53"/>
      <c r="E3" s="52">
        <f aca="true" t="shared" si="3" ref="E3:E19">MIN(800,MAX(320,($A3*$E$4+$F$4)))*($A3&gt;=320)*($A3&lt;800)+800*($A3&gt;=800)</f>
        <v>330.5</v>
      </c>
      <c r="F3" s="22">
        <f aca="true" t="shared" si="4" ref="F3:F19">MIN(800,MAX(320,($A3*$E$3+$F$3)))*($A3&gt;=320)*($A3&lt;800)+800*($A3&gt;=800)</f>
        <v>322.49999999999994</v>
      </c>
      <c r="G3" s="53"/>
      <c r="H3" s="52">
        <f aca="true" t="shared" si="5" ref="H3:H19">MIN(800,MAX(320,($A3*$H$4+$I$4)))*($A3&gt;=320)*($A3&lt;800)+800*($A3&gt;=800)</f>
        <v>320</v>
      </c>
      <c r="I3" s="22">
        <f aca="true" t="shared" si="6" ref="I3:I19">MIN(800,MAX(320,($A3*$H$3+$I$3)))*($A3&gt;=320)*($A3&lt;800)+800*($A3&gt;=800)</f>
        <v>379.49999999999994</v>
      </c>
      <c r="J3" s="53"/>
      <c r="K3" s="52">
        <f t="shared" si="0"/>
        <v>0</v>
      </c>
      <c r="L3" s="22">
        <f aca="true" t="shared" si="7" ref="L3:L19">MIN(800,MAX(320,($A3*$K$3+$L$3)))*($A3&gt;=320)*($A3&lt;800)+800*($A3&gt;=800)</f>
        <v>392.3</v>
      </c>
    </row>
    <row r="4" spans="1:12" ht="12.75">
      <c r="A4">
        <f>$A3+10</f>
        <v>340</v>
      </c>
      <c r="B4" s="52">
        <f t="shared" si="1"/>
        <v>320</v>
      </c>
      <c r="C4" s="22">
        <f t="shared" si="2"/>
        <v>428</v>
      </c>
      <c r="D4" s="53"/>
      <c r="E4" s="52">
        <f t="shared" si="3"/>
        <v>339</v>
      </c>
      <c r="F4" s="22">
        <f t="shared" si="4"/>
        <v>333.99999999999994</v>
      </c>
      <c r="G4" s="53"/>
      <c r="H4" s="52">
        <f t="shared" si="5"/>
        <v>320</v>
      </c>
      <c r="I4" s="22">
        <f t="shared" si="6"/>
        <v>390.99999999999994</v>
      </c>
      <c r="J4" s="53"/>
      <c r="K4" s="52">
        <f t="shared" si="0"/>
        <v>0</v>
      </c>
      <c r="L4" s="22">
        <f t="shared" si="7"/>
        <v>403.40000000000003</v>
      </c>
    </row>
    <row r="5" spans="1:12" ht="12.75">
      <c r="A5">
        <f>$A4+10</f>
        <v>350</v>
      </c>
      <c r="B5" s="52">
        <f t="shared" si="1"/>
        <v>320</v>
      </c>
      <c r="C5" s="22">
        <f t="shared" si="2"/>
        <v>442.5</v>
      </c>
      <c r="D5" s="53"/>
      <c r="E5" s="52">
        <f t="shared" si="3"/>
        <v>347.5</v>
      </c>
      <c r="F5" s="22">
        <f t="shared" si="4"/>
        <v>345.49999999999994</v>
      </c>
      <c r="G5" s="53"/>
      <c r="H5" s="52">
        <f t="shared" si="5"/>
        <v>320</v>
      </c>
      <c r="I5" s="22">
        <f t="shared" si="6"/>
        <v>402.49999999999994</v>
      </c>
      <c r="J5" s="53"/>
      <c r="K5" s="52">
        <f t="shared" si="0"/>
        <v>0</v>
      </c>
      <c r="L5" s="22">
        <f t="shared" si="7"/>
        <v>414.50000000000006</v>
      </c>
    </row>
    <row r="6" spans="1:12" ht="12.75">
      <c r="A6">
        <f>$A5+10</f>
        <v>360</v>
      </c>
      <c r="B6" s="52">
        <f t="shared" si="1"/>
        <v>320</v>
      </c>
      <c r="C6" s="22">
        <f t="shared" si="2"/>
        <v>457</v>
      </c>
      <c r="D6" s="53"/>
      <c r="E6" s="52">
        <f t="shared" si="3"/>
        <v>356</v>
      </c>
      <c r="F6" s="22">
        <f t="shared" si="4"/>
        <v>356.99999999999994</v>
      </c>
      <c r="G6" s="53"/>
      <c r="H6" s="52">
        <f t="shared" si="5"/>
        <v>320</v>
      </c>
      <c r="I6" s="22">
        <f t="shared" si="6"/>
        <v>413.99999999999994</v>
      </c>
      <c r="J6" s="53"/>
      <c r="K6" s="52">
        <f t="shared" si="0"/>
        <v>0</v>
      </c>
      <c r="L6" s="22">
        <f t="shared" si="7"/>
        <v>425.6</v>
      </c>
    </row>
    <row r="7" spans="1:12" ht="12.75">
      <c r="A7">
        <f>$A6+20</f>
        <v>380</v>
      </c>
      <c r="B7" s="52">
        <f t="shared" si="1"/>
        <v>320</v>
      </c>
      <c r="C7" s="22">
        <f t="shared" si="2"/>
        <v>486</v>
      </c>
      <c r="D7" s="53"/>
      <c r="E7" s="52">
        <f t="shared" si="3"/>
        <v>373</v>
      </c>
      <c r="F7" s="22">
        <f t="shared" si="4"/>
        <v>379.99999999999994</v>
      </c>
      <c r="G7" s="53"/>
      <c r="H7" s="52">
        <f t="shared" si="5"/>
        <v>323</v>
      </c>
      <c r="I7" s="22">
        <f t="shared" si="6"/>
        <v>436.99999999999994</v>
      </c>
      <c r="J7" s="53"/>
      <c r="K7" s="52">
        <f t="shared" si="0"/>
        <v>0</v>
      </c>
      <c r="L7" s="22">
        <f t="shared" si="7"/>
        <v>447.8</v>
      </c>
    </row>
    <row r="8" spans="1:12" ht="12.75">
      <c r="A8">
        <v>400</v>
      </c>
      <c r="B8" s="52">
        <f t="shared" si="1"/>
        <v>326</v>
      </c>
      <c r="C8" s="22">
        <f t="shared" si="2"/>
        <v>515</v>
      </c>
      <c r="D8" s="53"/>
      <c r="E8" s="52">
        <f t="shared" si="3"/>
        <v>390</v>
      </c>
      <c r="F8" s="22">
        <f t="shared" si="4"/>
        <v>402.99999999999994</v>
      </c>
      <c r="G8" s="53"/>
      <c r="H8" s="52">
        <f t="shared" si="5"/>
        <v>340</v>
      </c>
      <c r="I8" s="22">
        <f t="shared" si="6"/>
        <v>459.99999999999994</v>
      </c>
      <c r="J8" s="53"/>
      <c r="K8" s="52">
        <f t="shared" si="0"/>
        <v>0</v>
      </c>
      <c r="L8" s="22">
        <f t="shared" si="7"/>
        <v>470.00000000000006</v>
      </c>
    </row>
    <row r="9" spans="1:12" ht="12.75">
      <c r="A9">
        <v>596</v>
      </c>
      <c r="B9" s="52">
        <f t="shared" si="1"/>
        <v>461.23999999999995</v>
      </c>
      <c r="C9" s="22">
        <f t="shared" si="2"/>
        <v>799.1999999999999</v>
      </c>
      <c r="D9" s="53"/>
      <c r="E9" s="52">
        <f t="shared" si="3"/>
        <v>556.5999999999999</v>
      </c>
      <c r="F9" s="22">
        <f t="shared" si="4"/>
        <v>628.4</v>
      </c>
      <c r="G9" s="53"/>
      <c r="H9" s="52">
        <f t="shared" si="5"/>
        <v>506.59999999999997</v>
      </c>
      <c r="I9" s="22">
        <f t="shared" si="6"/>
        <v>685.4</v>
      </c>
      <c r="J9" s="53"/>
      <c r="K9" s="52">
        <f t="shared" si="0"/>
        <v>0</v>
      </c>
      <c r="L9" s="22">
        <f t="shared" si="7"/>
        <v>687.5600000000001</v>
      </c>
    </row>
    <row r="10" spans="1:12" ht="12.75">
      <c r="A10">
        <v>640</v>
      </c>
      <c r="B10" s="52">
        <f t="shared" si="1"/>
        <v>491.59999999999997</v>
      </c>
      <c r="C10" s="22">
        <f t="shared" si="2"/>
        <v>800</v>
      </c>
      <c r="D10" s="53"/>
      <c r="E10" s="52">
        <f t="shared" si="3"/>
        <v>594</v>
      </c>
      <c r="F10" s="22">
        <f t="shared" si="4"/>
        <v>679</v>
      </c>
      <c r="G10" s="53"/>
      <c r="H10" s="52">
        <f t="shared" si="5"/>
        <v>544</v>
      </c>
      <c r="I10" s="22">
        <f t="shared" si="6"/>
        <v>736</v>
      </c>
      <c r="J10" s="53"/>
      <c r="K10" s="52">
        <f t="shared" si="0"/>
        <v>0</v>
      </c>
      <c r="L10" s="22">
        <f t="shared" si="7"/>
        <v>736.4000000000001</v>
      </c>
    </row>
    <row r="11" spans="1:12" ht="12.75">
      <c r="A11">
        <f>$A10+20</f>
        <v>660</v>
      </c>
      <c r="B11" s="52">
        <f t="shared" si="1"/>
        <v>505.4</v>
      </c>
      <c r="C11" s="22">
        <f t="shared" si="2"/>
        <v>800</v>
      </c>
      <c r="D11" s="53"/>
      <c r="E11" s="52">
        <f t="shared" si="3"/>
        <v>611</v>
      </c>
      <c r="F11" s="22">
        <f t="shared" si="4"/>
        <v>701.9999999999999</v>
      </c>
      <c r="G11" s="53"/>
      <c r="H11" s="52">
        <f t="shared" si="5"/>
        <v>561</v>
      </c>
      <c r="I11" s="22">
        <f t="shared" si="6"/>
        <v>758.9999999999999</v>
      </c>
      <c r="J11" s="53"/>
      <c r="K11" s="52">
        <f aca="true" t="shared" si="8" ref="K11:K19">MIN(800,MAX(320,($A11*$K$4+$L$4)))*($A11&gt;=320)*($A11&lt;800)+800*($A11&gt;=800)</f>
        <v>571</v>
      </c>
      <c r="L11" s="22">
        <f t="shared" si="7"/>
        <v>758.6</v>
      </c>
    </row>
    <row r="12" spans="1:12" ht="12.75">
      <c r="A12">
        <f aca="true" t="shared" si="9" ref="A12:A17">$A11+20</f>
        <v>680</v>
      </c>
      <c r="B12" s="52">
        <f t="shared" si="1"/>
        <v>519.2</v>
      </c>
      <c r="C12" s="22">
        <f t="shared" si="2"/>
        <v>800</v>
      </c>
      <c r="D12" s="53"/>
      <c r="E12" s="52">
        <f t="shared" si="3"/>
        <v>628</v>
      </c>
      <c r="F12" s="22">
        <f t="shared" si="4"/>
        <v>724.9999999999999</v>
      </c>
      <c r="G12" s="53"/>
      <c r="H12" s="52">
        <f t="shared" si="5"/>
        <v>578</v>
      </c>
      <c r="I12" s="22">
        <f t="shared" si="6"/>
        <v>781.9999999999999</v>
      </c>
      <c r="J12" s="53"/>
      <c r="K12" s="52">
        <f t="shared" si="8"/>
        <v>589</v>
      </c>
      <c r="L12" s="22">
        <f t="shared" si="7"/>
        <v>780.8000000000001</v>
      </c>
    </row>
    <row r="13" spans="1:12" ht="12.75">
      <c r="A13">
        <f t="shared" si="9"/>
        <v>700</v>
      </c>
      <c r="B13" s="52">
        <f t="shared" si="1"/>
        <v>533</v>
      </c>
      <c r="C13" s="22">
        <f t="shared" si="2"/>
        <v>800</v>
      </c>
      <c r="D13" s="53"/>
      <c r="E13" s="52">
        <f t="shared" si="3"/>
        <v>645</v>
      </c>
      <c r="F13" s="22">
        <f t="shared" si="4"/>
        <v>747.9999999999999</v>
      </c>
      <c r="G13" s="53"/>
      <c r="H13" s="52">
        <f t="shared" si="5"/>
        <v>595</v>
      </c>
      <c r="I13" s="22">
        <f t="shared" si="6"/>
        <v>800</v>
      </c>
      <c r="J13" s="53"/>
      <c r="K13" s="52">
        <f t="shared" si="8"/>
        <v>607</v>
      </c>
      <c r="L13" s="22">
        <f t="shared" si="7"/>
        <v>800</v>
      </c>
    </row>
    <row r="14" spans="1:12" ht="12.75">
      <c r="A14">
        <f t="shared" si="9"/>
        <v>720</v>
      </c>
      <c r="B14" s="52">
        <f t="shared" si="1"/>
        <v>546.8</v>
      </c>
      <c r="C14" s="22">
        <f t="shared" si="2"/>
        <v>800</v>
      </c>
      <c r="D14" s="53"/>
      <c r="E14" s="52">
        <f t="shared" si="3"/>
        <v>662</v>
      </c>
      <c r="F14" s="22">
        <f t="shared" si="4"/>
        <v>770.9999999999999</v>
      </c>
      <c r="G14" s="53"/>
      <c r="H14" s="52">
        <f t="shared" si="5"/>
        <v>612</v>
      </c>
      <c r="I14" s="22">
        <f t="shared" si="6"/>
        <v>800</v>
      </c>
      <c r="J14" s="53"/>
      <c r="K14" s="52">
        <f t="shared" si="8"/>
        <v>625</v>
      </c>
      <c r="L14" s="22">
        <f t="shared" si="7"/>
        <v>800</v>
      </c>
    </row>
    <row r="15" spans="1:12" ht="12.75">
      <c r="A15">
        <f t="shared" si="9"/>
        <v>740</v>
      </c>
      <c r="B15" s="52">
        <f t="shared" si="1"/>
        <v>560.5999999999999</v>
      </c>
      <c r="C15" s="22">
        <f t="shared" si="2"/>
        <v>800</v>
      </c>
      <c r="D15" s="53"/>
      <c r="E15" s="52">
        <f t="shared" si="3"/>
        <v>679</v>
      </c>
      <c r="F15" s="22">
        <f t="shared" si="4"/>
        <v>793.9999999999999</v>
      </c>
      <c r="G15" s="53"/>
      <c r="H15" s="52">
        <f t="shared" si="5"/>
        <v>629</v>
      </c>
      <c r="I15" s="22">
        <f t="shared" si="6"/>
        <v>800</v>
      </c>
      <c r="J15" s="53"/>
      <c r="K15" s="52">
        <f t="shared" si="8"/>
        <v>643</v>
      </c>
      <c r="L15" s="22">
        <f t="shared" si="7"/>
        <v>800</v>
      </c>
    </row>
    <row r="16" spans="1:12" ht="12.75">
      <c r="A16">
        <f t="shared" si="9"/>
        <v>760</v>
      </c>
      <c r="B16" s="52">
        <f t="shared" si="1"/>
        <v>574.4</v>
      </c>
      <c r="C16" s="22">
        <f t="shared" si="2"/>
        <v>800</v>
      </c>
      <c r="D16" s="53"/>
      <c r="E16" s="52">
        <f t="shared" si="3"/>
        <v>696</v>
      </c>
      <c r="F16" s="22">
        <f t="shared" si="4"/>
        <v>800</v>
      </c>
      <c r="G16" s="53"/>
      <c r="H16" s="52">
        <f t="shared" si="5"/>
        <v>646</v>
      </c>
      <c r="I16" s="22">
        <f t="shared" si="6"/>
        <v>800</v>
      </c>
      <c r="J16" s="53"/>
      <c r="K16" s="52">
        <f t="shared" si="8"/>
        <v>661</v>
      </c>
      <c r="L16" s="22">
        <f t="shared" si="7"/>
        <v>800</v>
      </c>
    </row>
    <row r="17" spans="1:12" ht="12.75">
      <c r="A17">
        <f t="shared" si="9"/>
        <v>780</v>
      </c>
      <c r="B17" s="52">
        <f t="shared" si="1"/>
        <v>588.1999999999999</v>
      </c>
      <c r="C17" s="22">
        <f t="shared" si="2"/>
        <v>800</v>
      </c>
      <c r="D17" s="53"/>
      <c r="E17" s="52">
        <f t="shared" si="3"/>
        <v>713</v>
      </c>
      <c r="F17" s="22">
        <f t="shared" si="4"/>
        <v>800</v>
      </c>
      <c r="G17" s="53"/>
      <c r="H17" s="52">
        <f t="shared" si="5"/>
        <v>663</v>
      </c>
      <c r="I17" s="22">
        <f t="shared" si="6"/>
        <v>800</v>
      </c>
      <c r="J17" s="53"/>
      <c r="K17" s="52">
        <f t="shared" si="8"/>
        <v>679</v>
      </c>
      <c r="L17" s="22">
        <f t="shared" si="7"/>
        <v>800</v>
      </c>
    </row>
    <row r="18" spans="1:12" ht="12.75">
      <c r="A18">
        <v>799.9</v>
      </c>
      <c r="B18" s="52">
        <f t="shared" si="1"/>
        <v>601.9309999999999</v>
      </c>
      <c r="C18" s="22">
        <f t="shared" si="2"/>
        <v>800</v>
      </c>
      <c r="D18" s="53"/>
      <c r="E18" s="52">
        <f t="shared" si="3"/>
        <v>729.915</v>
      </c>
      <c r="F18" s="22">
        <f t="shared" si="4"/>
        <v>800</v>
      </c>
      <c r="G18" s="53"/>
      <c r="H18" s="52">
        <f t="shared" si="5"/>
        <v>679.915</v>
      </c>
      <c r="I18" s="22">
        <f t="shared" si="6"/>
        <v>800</v>
      </c>
      <c r="J18" s="53"/>
      <c r="K18" s="52">
        <f t="shared" si="8"/>
        <v>696.91</v>
      </c>
      <c r="L18" s="22">
        <f t="shared" si="7"/>
        <v>800</v>
      </c>
    </row>
    <row r="19" spans="1:12" ht="12.75">
      <c r="A19">
        <v>800</v>
      </c>
      <c r="B19" s="52">
        <f t="shared" si="1"/>
        <v>800</v>
      </c>
      <c r="C19" s="22">
        <f t="shared" si="2"/>
        <v>800</v>
      </c>
      <c r="D19" s="53"/>
      <c r="E19" s="52">
        <f t="shared" si="3"/>
        <v>800</v>
      </c>
      <c r="F19" s="22">
        <f t="shared" si="4"/>
        <v>800</v>
      </c>
      <c r="G19" s="53"/>
      <c r="H19" s="52">
        <f t="shared" si="5"/>
        <v>800</v>
      </c>
      <c r="I19" s="22">
        <f t="shared" si="6"/>
        <v>800</v>
      </c>
      <c r="J19" s="53"/>
      <c r="K19" s="52">
        <f t="shared" si="8"/>
        <v>800</v>
      </c>
      <c r="L19" s="22">
        <f t="shared" si="7"/>
        <v>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tabSelected="1" view="pageBreakPreview" zoomScale="60" zoomScaleNormal="90" workbookViewId="0" topLeftCell="A1">
      <pane ySplit="11" topLeftCell="BM59" activePane="bottomLeft" state="frozen"/>
      <selection pane="topLeft" activeCell="A1" sqref="A1"/>
      <selection pane="bottomLeft" activeCell="P63" sqref="P63"/>
    </sheetView>
  </sheetViews>
  <sheetFormatPr defaultColWidth="9.140625" defaultRowHeight="12.75"/>
  <cols>
    <col min="1" max="1" width="25.7109375" style="0" customWidth="1"/>
    <col min="2" max="2" width="10.28125" style="0" bestFit="1" customWidth="1"/>
  </cols>
  <sheetData>
    <row r="1" spans="1:4" ht="12.75">
      <c r="A1" s="1" t="s">
        <v>18</v>
      </c>
      <c r="D1" t="s">
        <v>68</v>
      </c>
    </row>
    <row r="2" spans="1:7" ht="12.75">
      <c r="A2" t="s">
        <v>90</v>
      </c>
      <c r="B2" s="10">
        <v>36830</v>
      </c>
      <c r="D2" t="s">
        <v>69</v>
      </c>
      <c r="G2" t="s">
        <v>48</v>
      </c>
    </row>
    <row r="3" spans="1:11" ht="12.75">
      <c r="A3" s="1" t="s">
        <v>19</v>
      </c>
      <c r="B3" s="1">
        <v>370</v>
      </c>
      <c r="C3" s="1">
        <v>475</v>
      </c>
      <c r="D3" s="1">
        <v>495</v>
      </c>
      <c r="E3" s="64">
        <v>500</v>
      </c>
      <c r="F3" s="17">
        <v>560</v>
      </c>
      <c r="G3" s="1">
        <v>620</v>
      </c>
      <c r="H3" s="1">
        <v>700</v>
      </c>
      <c r="I3" s="1">
        <v>740</v>
      </c>
      <c r="J3" s="1">
        <v>800</v>
      </c>
      <c r="K3" s="1" t="s">
        <v>2</v>
      </c>
    </row>
    <row r="4" spans="1:13" ht="12.75">
      <c r="A4" t="s">
        <v>1</v>
      </c>
      <c r="E4" s="52"/>
      <c r="F4" s="53"/>
      <c r="L4" t="s">
        <v>74</v>
      </c>
      <c r="M4" s="1"/>
    </row>
    <row r="5" spans="1:12" ht="13.5" thickBot="1">
      <c r="A5" t="s">
        <v>9</v>
      </c>
      <c r="E5" s="52"/>
      <c r="F5" s="53"/>
      <c r="L5" s="1" t="s">
        <v>75</v>
      </c>
    </row>
    <row r="6" spans="1:12" ht="13.5" thickBot="1">
      <c r="A6" t="s">
        <v>72</v>
      </c>
      <c r="B6" s="90">
        <f aca="true" t="shared" si="0" ref="B6:J6">SUM(B3*0.78)</f>
        <v>288.6</v>
      </c>
      <c r="C6" s="91">
        <f t="shared" si="0"/>
        <v>370.5</v>
      </c>
      <c r="D6" s="92">
        <f t="shared" si="0"/>
        <v>386.1</v>
      </c>
      <c r="E6" s="92">
        <f t="shared" si="0"/>
        <v>390</v>
      </c>
      <c r="F6" s="92">
        <f t="shared" si="0"/>
        <v>436.8</v>
      </c>
      <c r="G6" s="92">
        <f t="shared" si="0"/>
        <v>483.6</v>
      </c>
      <c r="H6" s="92">
        <f t="shared" si="0"/>
        <v>546</v>
      </c>
      <c r="I6" s="92">
        <f t="shared" si="0"/>
        <v>577.2</v>
      </c>
      <c r="J6" s="93">
        <f t="shared" si="0"/>
        <v>624</v>
      </c>
      <c r="K6">
        <f>SUM(370/0.78)</f>
        <v>474.35897435897436</v>
      </c>
      <c r="L6" t="s">
        <v>3</v>
      </c>
    </row>
    <row r="7" spans="1:13" ht="13.5" thickBot="1">
      <c r="A7" t="s">
        <v>12</v>
      </c>
      <c r="B7" s="90">
        <f aca="true" t="shared" si="1" ref="B7:J7">SUM(B3*0.66)</f>
        <v>244.20000000000002</v>
      </c>
      <c r="C7" s="90">
        <f t="shared" si="1"/>
        <v>313.5</v>
      </c>
      <c r="D7" s="90">
        <f>SUM(D3*0.66)</f>
        <v>326.7</v>
      </c>
      <c r="E7" s="103">
        <f>SUM(E3*0.66)</f>
        <v>330</v>
      </c>
      <c r="F7" s="60">
        <f t="shared" si="1"/>
        <v>369.6</v>
      </c>
      <c r="G7" s="61">
        <f>SUM(G3*0.66)</f>
        <v>409.20000000000005</v>
      </c>
      <c r="H7" s="61">
        <f t="shared" si="1"/>
        <v>462</v>
      </c>
      <c r="I7" s="61">
        <f t="shared" si="1"/>
        <v>488.40000000000003</v>
      </c>
      <c r="J7" s="62">
        <f t="shared" si="1"/>
        <v>528</v>
      </c>
      <c r="K7">
        <f>SUM(370/0.66)</f>
        <v>560.6060606060606</v>
      </c>
      <c r="L7" t="s">
        <v>3</v>
      </c>
      <c r="M7" s="6"/>
    </row>
    <row r="8" spans="1:13" ht="13.5" thickBot="1">
      <c r="A8" t="s">
        <v>0</v>
      </c>
      <c r="B8" s="90">
        <f aca="true" t="shared" si="2" ref="B8:J8">SUM(B3*0.6)</f>
        <v>222</v>
      </c>
      <c r="C8" s="90">
        <f t="shared" si="2"/>
        <v>285</v>
      </c>
      <c r="D8" s="90">
        <f>SUM(D3*0.6)</f>
        <v>297</v>
      </c>
      <c r="E8" s="103">
        <f>SUM(E3*0.6)</f>
        <v>300</v>
      </c>
      <c r="F8" s="103">
        <f t="shared" si="2"/>
        <v>336</v>
      </c>
      <c r="G8" s="121">
        <f>SUM(G3*0.6)</f>
        <v>372</v>
      </c>
      <c r="H8" s="122">
        <f t="shared" si="2"/>
        <v>420</v>
      </c>
      <c r="I8" s="122">
        <f t="shared" si="2"/>
        <v>444</v>
      </c>
      <c r="J8" s="123">
        <f t="shared" si="2"/>
        <v>480</v>
      </c>
      <c r="K8">
        <f>SUM(370/0.6)</f>
        <v>616.6666666666667</v>
      </c>
      <c r="L8" t="s">
        <v>3</v>
      </c>
      <c r="M8" s="2"/>
    </row>
    <row r="9" spans="1:12" ht="13.5" thickBot="1">
      <c r="A9" t="s">
        <v>50</v>
      </c>
      <c r="B9" s="90">
        <f aca="true" t="shared" si="3" ref="B9:J9">SUM(B3*0.5)</f>
        <v>185</v>
      </c>
      <c r="C9" s="90">
        <f t="shared" si="3"/>
        <v>237.5</v>
      </c>
      <c r="D9" s="90">
        <f t="shared" si="3"/>
        <v>247.5</v>
      </c>
      <c r="E9" s="103">
        <f t="shared" si="3"/>
        <v>250</v>
      </c>
      <c r="F9" s="103">
        <f t="shared" si="3"/>
        <v>280</v>
      </c>
      <c r="G9" s="103">
        <f t="shared" si="3"/>
        <v>310</v>
      </c>
      <c r="H9" s="103">
        <f t="shared" si="3"/>
        <v>350</v>
      </c>
      <c r="I9" s="74">
        <f t="shared" si="3"/>
        <v>370</v>
      </c>
      <c r="J9" s="63">
        <f t="shared" si="3"/>
        <v>400</v>
      </c>
      <c r="K9">
        <f>SUM(370/0.5)</f>
        <v>740</v>
      </c>
      <c r="L9" t="s">
        <v>62</v>
      </c>
    </row>
    <row r="10" spans="1:10" ht="12.75">
      <c r="A10" s="6" t="s">
        <v>42</v>
      </c>
      <c r="B10" s="18"/>
      <c r="C10" s="18" t="s">
        <v>44</v>
      </c>
      <c r="D10" s="18"/>
      <c r="E10" s="22"/>
      <c r="F10" s="18"/>
      <c r="G10" s="17"/>
      <c r="H10" s="17"/>
      <c r="I10" s="17"/>
      <c r="J10" s="17"/>
    </row>
    <row r="11" spans="1:11" ht="12.75">
      <c r="A11" s="1" t="s">
        <v>36</v>
      </c>
      <c r="B11" s="12">
        <f aca="true" t="shared" si="4" ref="B11:J11">SUM(((B3+B3)*0.6)-B3)-60</f>
        <v>14</v>
      </c>
      <c r="C11" s="15">
        <f t="shared" si="4"/>
        <v>35</v>
      </c>
      <c r="D11" s="15">
        <f t="shared" si="4"/>
        <v>39</v>
      </c>
      <c r="E11" s="66">
        <f t="shared" si="4"/>
        <v>40</v>
      </c>
      <c r="F11" s="65">
        <f t="shared" si="4"/>
        <v>52</v>
      </c>
      <c r="G11" s="15">
        <f t="shared" si="4"/>
        <v>64</v>
      </c>
      <c r="H11" s="15">
        <f t="shared" si="4"/>
        <v>80</v>
      </c>
      <c r="I11" s="24">
        <f t="shared" si="4"/>
        <v>88</v>
      </c>
      <c r="J11" s="24">
        <f t="shared" si="4"/>
        <v>100</v>
      </c>
      <c r="K11" s="1"/>
    </row>
    <row r="12" spans="1:11" ht="13.5" thickBot="1">
      <c r="A12" s="1" t="s">
        <v>41</v>
      </c>
      <c r="B12" s="23">
        <f aca="true" t="shared" si="5" ref="B12:J12">SUM((((B3+B3)*0.6)-B3)*0.77)-60</f>
        <v>-3.019999999999996</v>
      </c>
      <c r="C12" s="23">
        <f t="shared" si="5"/>
        <v>13.150000000000006</v>
      </c>
      <c r="D12" s="23">
        <f t="shared" si="5"/>
        <v>16.230000000000004</v>
      </c>
      <c r="E12" s="23">
        <f t="shared" si="5"/>
        <v>17</v>
      </c>
      <c r="F12" s="16">
        <f t="shared" si="5"/>
        <v>26.24000000000001</v>
      </c>
      <c r="G12" s="16">
        <f t="shared" si="5"/>
        <v>35.480000000000004</v>
      </c>
      <c r="H12" s="16">
        <f t="shared" si="5"/>
        <v>47.8</v>
      </c>
      <c r="I12" s="16">
        <f t="shared" si="5"/>
        <v>53.96000000000001</v>
      </c>
      <c r="J12" s="16">
        <f t="shared" si="5"/>
        <v>63.2</v>
      </c>
      <c r="K12" s="13" t="s">
        <v>65</v>
      </c>
    </row>
    <row r="13" spans="1:11" ht="12.75">
      <c r="A13" s="1" t="s">
        <v>22</v>
      </c>
      <c r="E13" s="52"/>
      <c r="F13" s="17" t="s">
        <v>49</v>
      </c>
      <c r="K13" s="19" t="s">
        <v>40</v>
      </c>
    </row>
    <row r="14" spans="1:6" ht="13.5" thickBot="1">
      <c r="A14" s="1" t="s">
        <v>24</v>
      </c>
      <c r="E14" s="52"/>
      <c r="F14" s="53"/>
    </row>
    <row r="15" spans="1:11" ht="13.5" thickBot="1">
      <c r="A15" t="s">
        <v>73</v>
      </c>
      <c r="B15" s="84">
        <f aca="true" t="shared" si="6" ref="B15:J15">SUM((((B3+B6)*0.6)-B6)*0.77)-60</f>
        <v>22.05120000000001</v>
      </c>
      <c r="C15" s="101">
        <f t="shared" si="6"/>
        <v>45.33599999999997</v>
      </c>
      <c r="D15" s="96">
        <f t="shared" si="6"/>
        <v>49.771199999999965</v>
      </c>
      <c r="E15" s="96">
        <f t="shared" si="6"/>
        <v>50.879999999999995</v>
      </c>
      <c r="F15" s="96">
        <f t="shared" si="6"/>
        <v>64.18559999999994</v>
      </c>
      <c r="G15" s="96">
        <f t="shared" si="6"/>
        <v>77.49119999999996</v>
      </c>
      <c r="H15" s="98">
        <f t="shared" si="6"/>
        <v>95.23200000000003</v>
      </c>
      <c r="I15" s="97">
        <f t="shared" si="6"/>
        <v>104.10240000000002</v>
      </c>
      <c r="J15" s="119">
        <f t="shared" si="6"/>
        <v>117.40799999999999</v>
      </c>
      <c r="K15" s="13" t="s">
        <v>65</v>
      </c>
    </row>
    <row r="16" spans="1:11" ht="13.5" thickBot="1">
      <c r="A16" t="s">
        <v>14</v>
      </c>
      <c r="B16" s="85">
        <f aca="true" t="shared" si="7" ref="B16:J16">SUM((((B3+B7)*0.6)-B7)*0.77)-60</f>
        <v>35.72640000000001</v>
      </c>
      <c r="C16" s="80">
        <f t="shared" si="7"/>
        <v>62.89199999999998</v>
      </c>
      <c r="D16" s="80">
        <f t="shared" si="7"/>
        <v>68.06639999999999</v>
      </c>
      <c r="E16" s="84">
        <f t="shared" si="7"/>
        <v>69.36000000000001</v>
      </c>
      <c r="F16" s="88">
        <f t="shared" si="7"/>
        <v>84.88319999999999</v>
      </c>
      <c r="G16" s="56">
        <f t="shared" si="7"/>
        <v>100.40639999999996</v>
      </c>
      <c r="H16" s="56">
        <f t="shared" si="7"/>
        <v>121.10399999999996</v>
      </c>
      <c r="I16" s="56">
        <f t="shared" si="7"/>
        <v>131.45280000000002</v>
      </c>
      <c r="J16" s="56">
        <f t="shared" si="7"/>
        <v>146.97599999999997</v>
      </c>
      <c r="K16" s="13" t="s">
        <v>65</v>
      </c>
    </row>
    <row r="17" spans="1:11" ht="13.5" thickBot="1">
      <c r="A17" t="s">
        <v>13</v>
      </c>
      <c r="B17" s="85">
        <f aca="true" t="shared" si="8" ref="B17:J17">SUM((((B3+B8)*0.6)-B8)*0.77)-60</f>
        <v>42.56399999999999</v>
      </c>
      <c r="C17" s="78">
        <f t="shared" si="8"/>
        <v>71.67000000000002</v>
      </c>
      <c r="D17" s="78">
        <f t="shared" si="8"/>
        <v>77.214</v>
      </c>
      <c r="E17" s="85">
        <f t="shared" si="8"/>
        <v>78.6</v>
      </c>
      <c r="F17" s="83">
        <f t="shared" si="8"/>
        <v>95.23200000000003</v>
      </c>
      <c r="G17" s="89">
        <f t="shared" si="8"/>
        <v>111.86399999999995</v>
      </c>
      <c r="H17" s="67">
        <f t="shared" si="8"/>
        <v>134.04</v>
      </c>
      <c r="I17" s="67">
        <f t="shared" si="8"/>
        <v>145.128</v>
      </c>
      <c r="J17" s="67">
        <f t="shared" si="8"/>
        <v>161.76</v>
      </c>
      <c r="K17" s="13" t="s">
        <v>65</v>
      </c>
    </row>
    <row r="18" spans="1:11" ht="13.5" thickBot="1">
      <c r="A18" t="s">
        <v>64</v>
      </c>
      <c r="B18" s="81">
        <f aca="true" t="shared" si="9" ref="B18:J18">SUM((((B3+B9)*0.6)-B9)*0.77)-60</f>
        <v>53.96000000000001</v>
      </c>
      <c r="C18" s="79">
        <f t="shared" si="9"/>
        <v>86.30000000000001</v>
      </c>
      <c r="D18" s="79">
        <f t="shared" si="9"/>
        <v>92.46000000000001</v>
      </c>
      <c r="E18" s="94">
        <f t="shared" si="9"/>
        <v>94</v>
      </c>
      <c r="F18" s="95">
        <f t="shared" si="9"/>
        <v>112.48000000000002</v>
      </c>
      <c r="G18" s="95">
        <f t="shared" si="9"/>
        <v>130.96</v>
      </c>
      <c r="H18" s="77">
        <f t="shared" si="9"/>
        <v>155.6</v>
      </c>
      <c r="I18" s="87">
        <f t="shared" si="9"/>
        <v>167.92000000000002</v>
      </c>
      <c r="J18" s="87">
        <f t="shared" si="9"/>
        <v>186.4</v>
      </c>
      <c r="K18" s="13" t="s">
        <v>65</v>
      </c>
    </row>
    <row r="19" spans="2:11" ht="12.75">
      <c r="B19" s="4"/>
      <c r="C19" s="9"/>
      <c r="D19" s="6"/>
      <c r="E19" s="68"/>
      <c r="F19" s="69"/>
      <c r="G19" s="3" t="s">
        <v>66</v>
      </c>
      <c r="I19" s="3"/>
      <c r="J19" s="3"/>
      <c r="K19" s="6" t="s">
        <v>63</v>
      </c>
    </row>
    <row r="20" spans="1:12" ht="12.75">
      <c r="A20" t="s">
        <v>61</v>
      </c>
      <c r="B20" s="1"/>
      <c r="C20" s="1"/>
      <c r="D20" s="1"/>
      <c r="E20" s="17"/>
      <c r="F20" s="17"/>
      <c r="G20" s="1"/>
      <c r="H20" s="1"/>
      <c r="I20" s="1"/>
      <c r="J20" s="1"/>
      <c r="K20" s="1"/>
      <c r="L20" s="8" t="s">
        <v>39</v>
      </c>
    </row>
    <row r="21" spans="1:12" ht="12.75">
      <c r="A21" s="8" t="s">
        <v>21</v>
      </c>
      <c r="B21" s="54" t="s">
        <v>67</v>
      </c>
      <c r="C21" s="8"/>
      <c r="D21" s="8"/>
      <c r="E21" s="58"/>
      <c r="F21" s="58"/>
      <c r="G21" s="8"/>
      <c r="H21" s="8"/>
      <c r="I21" s="8"/>
      <c r="J21" s="8"/>
      <c r="K21" s="8"/>
      <c r="L21" t="s">
        <v>25</v>
      </c>
    </row>
    <row r="22" spans="1:12" ht="12.75">
      <c r="A22" s="6" t="s">
        <v>7</v>
      </c>
      <c r="B22" s="55"/>
      <c r="C22" s="6"/>
      <c r="D22" s="6"/>
      <c r="E22" s="69"/>
      <c r="F22" s="69"/>
      <c r="G22" s="6"/>
      <c r="H22" s="6"/>
      <c r="I22" s="6"/>
      <c r="J22" s="6"/>
      <c r="K22" s="6"/>
      <c r="L22" s="1" t="s">
        <v>38</v>
      </c>
    </row>
    <row r="23" spans="1:12" ht="12.75">
      <c r="A23" s="5" t="s">
        <v>6</v>
      </c>
      <c r="B23" s="5"/>
      <c r="C23" s="5"/>
      <c r="D23" s="5"/>
      <c r="E23" s="57"/>
      <c r="F23" s="57"/>
      <c r="G23" s="5"/>
      <c r="H23" s="5"/>
      <c r="I23" s="5"/>
      <c r="J23" s="5"/>
      <c r="K23" s="5"/>
      <c r="L23" s="8" t="s">
        <v>37</v>
      </c>
    </row>
    <row r="24" spans="5:12" ht="12.75">
      <c r="E24" s="53"/>
      <c r="F24" s="53"/>
      <c r="L24" s="6" t="s">
        <v>16</v>
      </c>
    </row>
    <row r="25" spans="1:12" ht="12.75">
      <c r="A25" s="6" t="s">
        <v>43</v>
      </c>
      <c r="B25" s="4"/>
      <c r="C25" s="4"/>
      <c r="D25" s="4"/>
      <c r="E25" s="70"/>
      <c r="F25" s="71"/>
      <c r="H25" s="3"/>
      <c r="I25" s="3"/>
      <c r="J25" s="3"/>
      <c r="L25" s="5" t="s">
        <v>17</v>
      </c>
    </row>
    <row r="26" spans="1:11" ht="13.5" thickBot="1">
      <c r="A26" s="1" t="s">
        <v>47</v>
      </c>
      <c r="B26" s="26">
        <f aca="true" t="shared" si="10" ref="B26:J26">SUM(((((0.9*B3)-23)+B3)*0.6)-B3)-60</f>
        <v>-22</v>
      </c>
      <c r="C26" s="26">
        <f t="shared" si="10"/>
        <v>-7.300000000000068</v>
      </c>
      <c r="D26" s="26">
        <f t="shared" si="10"/>
        <v>-4.5</v>
      </c>
      <c r="E26" s="72">
        <f t="shared" si="10"/>
        <v>-3.800000000000068</v>
      </c>
      <c r="F26" s="26">
        <f t="shared" si="10"/>
        <v>4.600000000000023</v>
      </c>
      <c r="G26" s="26">
        <f t="shared" si="10"/>
        <v>13</v>
      </c>
      <c r="H26" s="27">
        <f t="shared" si="10"/>
        <v>24.199999999999932</v>
      </c>
      <c r="I26" s="27">
        <f t="shared" si="10"/>
        <v>29.799999999999955</v>
      </c>
      <c r="J26" s="27">
        <f t="shared" si="10"/>
        <v>38.19999999999993</v>
      </c>
      <c r="K26" s="4" t="s">
        <v>88</v>
      </c>
    </row>
    <row r="27" spans="1:11" ht="14.25" thickBot="1" thickTop="1">
      <c r="A27" s="1" t="s">
        <v>41</v>
      </c>
      <c r="B27" s="25">
        <f aca="true" t="shared" si="11" ref="B27:J27">SUM(((((0.77*((B3*0.9)-23))+(B3*0.77))*0.6)-(B3*0.77))-60)</f>
        <v>-30.74000000000001</v>
      </c>
      <c r="C27" s="25">
        <f t="shared" si="11"/>
        <v>-19.420999999999992</v>
      </c>
      <c r="D27" s="25">
        <f t="shared" si="11"/>
        <v>-17.265000000000043</v>
      </c>
      <c r="E27" s="25">
        <f t="shared" si="11"/>
        <v>-16.726000000000056</v>
      </c>
      <c r="F27" s="25">
        <f t="shared" si="11"/>
        <v>-10.258000000000038</v>
      </c>
      <c r="G27" s="25">
        <f t="shared" si="11"/>
        <v>-3.7900000000000205</v>
      </c>
      <c r="H27" s="25">
        <f t="shared" si="11"/>
        <v>4.833999999999946</v>
      </c>
      <c r="I27" s="25">
        <f t="shared" si="11"/>
        <v>9.145999999999958</v>
      </c>
      <c r="J27" s="25">
        <f t="shared" si="11"/>
        <v>15.614000000000033</v>
      </c>
      <c r="K27" s="13" t="s">
        <v>65</v>
      </c>
    </row>
    <row r="28" spans="1:11" ht="12.75">
      <c r="A28" s="1"/>
      <c r="B28" s="124"/>
      <c r="C28" s="124"/>
      <c r="D28" s="124"/>
      <c r="E28" s="124"/>
      <c r="F28" s="124"/>
      <c r="G28" s="124"/>
      <c r="H28" s="124"/>
      <c r="I28" s="124"/>
      <c r="J28" s="124"/>
      <c r="K28" s="13"/>
    </row>
    <row r="29" spans="1:11" ht="12.75">
      <c r="A29" s="1" t="s">
        <v>35</v>
      </c>
      <c r="C29" s="14">
        <v>0.1</v>
      </c>
      <c r="E29" s="53"/>
      <c r="F29" s="73"/>
      <c r="K29" s="20" t="s">
        <v>89</v>
      </c>
    </row>
    <row r="30" spans="1:11" ht="13.5" thickBot="1">
      <c r="A30" s="1" t="s">
        <v>24</v>
      </c>
      <c r="E30" s="52"/>
      <c r="F30" s="53"/>
      <c r="K30" s="6" t="s">
        <v>45</v>
      </c>
    </row>
    <row r="31" spans="1:11" ht="13.5" thickBot="1">
      <c r="A31" t="s">
        <v>76</v>
      </c>
      <c r="B31" s="104">
        <f aca="true" t="shared" si="12" ref="B31:J31">SUM(((((0.77*((B3*0.9)-23))+(B6*0.77))*0.6)-(B6*0.77)-60))</f>
        <v>-5.668800000000033</v>
      </c>
      <c r="C31" s="99">
        <f t="shared" si="12"/>
        <v>12.764999999999986</v>
      </c>
      <c r="D31" s="99">
        <f t="shared" si="12"/>
        <v>16.276200000000017</v>
      </c>
      <c r="E31" s="102">
        <f t="shared" si="12"/>
        <v>17.153999999999996</v>
      </c>
      <c r="F31" s="96">
        <f t="shared" si="12"/>
        <v>27.687599999999975</v>
      </c>
      <c r="G31" s="96">
        <f t="shared" si="12"/>
        <v>38.22119999999995</v>
      </c>
      <c r="H31" s="96">
        <f t="shared" si="12"/>
        <v>52.265999999999906</v>
      </c>
      <c r="I31" s="96">
        <f t="shared" si="12"/>
        <v>59.28839999999991</v>
      </c>
      <c r="J31" s="101">
        <f t="shared" si="12"/>
        <v>69.822</v>
      </c>
      <c r="K31" s="13" t="s">
        <v>65</v>
      </c>
    </row>
    <row r="32" spans="1:11" ht="13.5" thickBot="1">
      <c r="A32" s="1" t="s">
        <v>77</v>
      </c>
      <c r="B32" s="105">
        <f aca="true" t="shared" si="13" ref="B32:J32">SUM(((((0.77*((B3*0.9)-23))+(B7*0.77))*0.6)-(B7*0.77)-60))</f>
        <v>8.006400000000014</v>
      </c>
      <c r="C32" s="107">
        <f t="shared" si="13"/>
        <v>30.320999999999998</v>
      </c>
      <c r="D32" s="107">
        <f t="shared" si="13"/>
        <v>34.57140000000001</v>
      </c>
      <c r="E32" s="108">
        <f t="shared" si="13"/>
        <v>35.633999999999986</v>
      </c>
      <c r="F32" s="82">
        <f t="shared" si="13"/>
        <v>48.38519999999994</v>
      </c>
      <c r="G32" s="76">
        <f t="shared" si="13"/>
        <v>61.13639999999998</v>
      </c>
      <c r="H32" s="76">
        <f t="shared" si="13"/>
        <v>78.13799999999998</v>
      </c>
      <c r="I32" s="75">
        <f t="shared" si="13"/>
        <v>86.6388</v>
      </c>
      <c r="J32" s="75">
        <f t="shared" si="13"/>
        <v>99.38999999999993</v>
      </c>
      <c r="K32" s="13" t="s">
        <v>65</v>
      </c>
    </row>
    <row r="33" spans="1:11" ht="13.5" thickBot="1">
      <c r="A33" t="s">
        <v>78</v>
      </c>
      <c r="B33" s="105">
        <f aca="true" t="shared" si="14" ref="B33:J33">SUM(((((0.77*((B3*0.9)-23))+(B8*0.77))*0.6)-(B8*0.77)-60))</f>
        <v>14.843999999999994</v>
      </c>
      <c r="C33" s="108">
        <f t="shared" si="14"/>
        <v>39.09900000000002</v>
      </c>
      <c r="D33" s="108">
        <f t="shared" si="14"/>
        <v>43.718999999999994</v>
      </c>
      <c r="E33" s="108">
        <f t="shared" si="14"/>
        <v>44.87399999999997</v>
      </c>
      <c r="F33" s="108">
        <f t="shared" si="14"/>
        <v>58.73399999999998</v>
      </c>
      <c r="G33" s="82">
        <f t="shared" si="14"/>
        <v>72.594</v>
      </c>
      <c r="H33" s="75">
        <f t="shared" si="14"/>
        <v>91.0739999999999</v>
      </c>
      <c r="I33" s="56">
        <f t="shared" si="14"/>
        <v>100.31399999999996</v>
      </c>
      <c r="J33" s="56">
        <f t="shared" si="14"/>
        <v>114.17399999999998</v>
      </c>
      <c r="K33" s="13" t="s">
        <v>65</v>
      </c>
    </row>
    <row r="34" spans="1:11" ht="13.5" thickBot="1">
      <c r="A34" s="1" t="s">
        <v>79</v>
      </c>
      <c r="B34" s="106">
        <f aca="true" t="shared" si="15" ref="B34:J34">SUM(((((0.77*((B3*0.9)-23))+(B9*0.77))*0.6)-(B9*0.77)-60))</f>
        <v>26.24000000000001</v>
      </c>
      <c r="C34" s="109">
        <f t="shared" si="15"/>
        <v>53.728999999999985</v>
      </c>
      <c r="D34" s="109">
        <f t="shared" si="15"/>
        <v>58.96499999999995</v>
      </c>
      <c r="E34" s="109">
        <f t="shared" si="15"/>
        <v>60.273999999999944</v>
      </c>
      <c r="F34" s="109">
        <f t="shared" si="15"/>
        <v>75.982</v>
      </c>
      <c r="G34" s="110">
        <f t="shared" si="15"/>
        <v>91.68999999999997</v>
      </c>
      <c r="H34" s="116">
        <f t="shared" si="15"/>
        <v>112.63399999999996</v>
      </c>
      <c r="I34" s="100">
        <f t="shared" si="15"/>
        <v>123.10599999999994</v>
      </c>
      <c r="J34" s="100">
        <f t="shared" si="15"/>
        <v>138.81400000000002</v>
      </c>
      <c r="K34" s="13" t="s">
        <v>65</v>
      </c>
    </row>
    <row r="35" spans="2:11" ht="12.75">
      <c r="B35" s="4"/>
      <c r="C35" s="4"/>
      <c r="D35" s="7" t="s">
        <v>86</v>
      </c>
      <c r="F35" s="2"/>
      <c r="H35" s="3"/>
      <c r="I35" s="3"/>
      <c r="J35" s="3"/>
      <c r="K35" s="6" t="s">
        <v>84</v>
      </c>
    </row>
    <row r="36" spans="1:10" ht="12.75">
      <c r="A36" s="5" t="s">
        <v>20</v>
      </c>
      <c r="B36" s="4"/>
      <c r="C36" s="4"/>
      <c r="D36" s="70"/>
      <c r="E36" s="70"/>
      <c r="F36" s="53"/>
      <c r="G36" s="7"/>
      <c r="I36" s="3"/>
      <c r="J36" s="3"/>
    </row>
    <row r="37" spans="1:11" ht="12.75">
      <c r="A37" s="5"/>
      <c r="B37" s="17"/>
      <c r="C37" s="53"/>
      <c r="D37" s="4"/>
      <c r="F37" s="6"/>
      <c r="G37" s="7"/>
      <c r="I37" s="3"/>
      <c r="J37" s="3"/>
      <c r="K37" s="6"/>
    </row>
    <row r="38" spans="1:11" ht="13.5" thickBot="1">
      <c r="A38" s="5" t="s">
        <v>46</v>
      </c>
      <c r="B38" s="4"/>
      <c r="C38" s="4"/>
      <c r="D38" s="4"/>
      <c r="E38" s="70"/>
      <c r="F38" s="71"/>
      <c r="G38" s="7"/>
      <c r="I38" s="3"/>
      <c r="J38" s="3"/>
      <c r="K38" s="6"/>
    </row>
    <row r="39" spans="1:11" ht="13.5" thickBot="1">
      <c r="A39" s="118" t="s">
        <v>80</v>
      </c>
      <c r="B39" s="112">
        <f aca="true" t="shared" si="16" ref="B39:J39">SUM((((((0.77*((B3*0.9)-23))+(B6*0.77))*0.7)-(B6*0.77)-60)))</f>
        <v>40.42339999999996</v>
      </c>
      <c r="C39" s="101">
        <f t="shared" si="16"/>
        <v>72.43999999999994</v>
      </c>
      <c r="D39" s="96">
        <f t="shared" si="16"/>
        <v>78.53840000000002</v>
      </c>
      <c r="E39" s="120">
        <f t="shared" si="16"/>
        <v>80.06299999999999</v>
      </c>
      <c r="F39" s="120">
        <f t="shared" si="16"/>
        <v>98.35819999999995</v>
      </c>
      <c r="G39" s="100">
        <f t="shared" si="16"/>
        <v>116.65339999999998</v>
      </c>
      <c r="H39" s="100">
        <f t="shared" si="16"/>
        <v>141.04699999999985</v>
      </c>
      <c r="I39" s="100">
        <f t="shared" si="16"/>
        <v>153.24379999999996</v>
      </c>
      <c r="J39" s="100">
        <f t="shared" si="16"/>
        <v>171.539</v>
      </c>
      <c r="K39" s="13" t="s">
        <v>65</v>
      </c>
    </row>
    <row r="40" spans="1:11" ht="13.5" thickBot="1">
      <c r="A40" s="21" t="s">
        <v>81</v>
      </c>
      <c r="B40" s="113">
        <f aca="true" t="shared" si="17" ref="B40:J40">SUM((((((0.77*((B3*0.9)-23))+(B7*0.77))*0.7)-(B7*0.77)-60)))</f>
        <v>50.67979999999997</v>
      </c>
      <c r="C40" s="114">
        <f t="shared" si="17"/>
        <v>85.607</v>
      </c>
      <c r="D40" s="114">
        <f t="shared" si="17"/>
        <v>92.25980000000001</v>
      </c>
      <c r="E40" s="115">
        <f t="shared" si="17"/>
        <v>93.92299999999997</v>
      </c>
      <c r="F40" s="86">
        <f t="shared" si="17"/>
        <v>113.88139999999993</v>
      </c>
      <c r="G40" s="56">
        <f t="shared" si="17"/>
        <v>133.83979999999997</v>
      </c>
      <c r="H40" s="56">
        <f t="shared" si="17"/>
        <v>160.4509999999999</v>
      </c>
      <c r="I40" s="56">
        <f t="shared" si="17"/>
        <v>173.7566</v>
      </c>
      <c r="J40" s="56">
        <f t="shared" si="17"/>
        <v>193.71499999999997</v>
      </c>
      <c r="K40" s="13" t="s">
        <v>65</v>
      </c>
    </row>
    <row r="41" spans="1:11" ht="13.5" thickBot="1">
      <c r="A41" s="118" t="s">
        <v>82</v>
      </c>
      <c r="B41" s="113">
        <f aca="true" t="shared" si="18" ref="B41:J41">SUM(((((0.77*((B3*0.9)-23))+(B8*0.77))*0.7)-(B8*0.77)-60))</f>
        <v>55.80799999999999</v>
      </c>
      <c r="C41" s="115">
        <f t="shared" si="18"/>
        <v>92.19050000000001</v>
      </c>
      <c r="D41" s="115">
        <f t="shared" si="18"/>
        <v>99.12049999999999</v>
      </c>
      <c r="E41" s="117">
        <f t="shared" si="18"/>
        <v>100.85299999999995</v>
      </c>
      <c r="F41" s="117">
        <f t="shared" si="18"/>
        <v>121.64299999999997</v>
      </c>
      <c r="G41" s="86">
        <f t="shared" si="18"/>
        <v>142.43299999999994</v>
      </c>
      <c r="H41" s="59">
        <f t="shared" si="18"/>
        <v>170.15299999999985</v>
      </c>
      <c r="I41" s="59">
        <f t="shared" si="18"/>
        <v>184.01299999999992</v>
      </c>
      <c r="J41" s="59">
        <f t="shared" si="18"/>
        <v>204.803</v>
      </c>
      <c r="K41" s="13" t="s">
        <v>65</v>
      </c>
    </row>
    <row r="42" spans="1:11" ht="13.5" thickBot="1">
      <c r="A42" s="21" t="s">
        <v>83</v>
      </c>
      <c r="B42" s="106">
        <f aca="true" t="shared" si="19" ref="B42:J42">SUM(((((0.77*((B3*0.9)-23))+(B9*0.77))*0.7)-(B9*0.77)-60))</f>
        <v>64.35499999999999</v>
      </c>
      <c r="C42" s="116">
        <f t="shared" si="19"/>
        <v>103.16300000000001</v>
      </c>
      <c r="D42" s="116">
        <f t="shared" si="19"/>
        <v>110.55499999999992</v>
      </c>
      <c r="E42" s="116">
        <f t="shared" si="19"/>
        <v>112.40299999999996</v>
      </c>
      <c r="F42" s="116">
        <f t="shared" si="19"/>
        <v>134.57899999999998</v>
      </c>
      <c r="G42" s="116">
        <f t="shared" si="19"/>
        <v>156.7549999999999</v>
      </c>
      <c r="H42" s="111">
        <f t="shared" si="19"/>
        <v>186.32299999999998</v>
      </c>
      <c r="I42" s="59">
        <f t="shared" si="19"/>
        <v>201.1069999999999</v>
      </c>
      <c r="J42" s="59">
        <f t="shared" si="19"/>
        <v>223.28300000000002</v>
      </c>
      <c r="K42" s="13" t="s">
        <v>65</v>
      </c>
    </row>
    <row r="43" spans="1:11" ht="12.75">
      <c r="A43" s="5"/>
      <c r="B43" s="4"/>
      <c r="C43" s="4"/>
      <c r="D43" s="7" t="s">
        <v>85</v>
      </c>
      <c r="F43" s="2"/>
      <c r="I43" s="3"/>
      <c r="J43" s="3"/>
      <c r="K43" s="6"/>
    </row>
    <row r="44" spans="1:11" ht="12.75">
      <c r="A44" s="5"/>
      <c r="B44" s="57"/>
      <c r="C44" s="70"/>
      <c r="D44" s="4"/>
      <c r="E44" s="4"/>
      <c r="F44" s="5"/>
      <c r="G44" s="2"/>
      <c r="H44" s="7"/>
      <c r="I44" s="3"/>
      <c r="J44" s="3"/>
      <c r="K44" s="5" t="s">
        <v>87</v>
      </c>
    </row>
    <row r="45" spans="1:11" ht="12.75">
      <c r="A45" s="5"/>
      <c r="B45" s="4"/>
      <c r="C45" s="4"/>
      <c r="D45" s="4"/>
      <c r="E45" s="4"/>
      <c r="F45" s="5"/>
      <c r="G45" s="2"/>
      <c r="H45" s="7"/>
      <c r="I45" s="3"/>
      <c r="J45" s="3"/>
      <c r="K45" s="6"/>
    </row>
    <row r="46" spans="1:11" ht="12.75">
      <c r="A46" s="5"/>
      <c r="B46" s="4"/>
      <c r="C46" s="4"/>
      <c r="D46" s="4"/>
      <c r="E46" s="4"/>
      <c r="F46" s="5"/>
      <c r="G46" s="2"/>
      <c r="H46" s="7"/>
      <c r="I46" s="3"/>
      <c r="J46" s="3"/>
      <c r="K46" s="6"/>
    </row>
    <row r="47" spans="1:11" ht="12.75">
      <c r="A47" s="5"/>
      <c r="B47" s="4"/>
      <c r="C47" s="4"/>
      <c r="D47" s="4"/>
      <c r="E47" s="4"/>
      <c r="F47" s="5"/>
      <c r="G47" s="2"/>
      <c r="H47" s="7"/>
      <c r="I47" s="3"/>
      <c r="J47" s="3"/>
      <c r="K47" s="6"/>
    </row>
    <row r="48" spans="1:11" ht="12.75">
      <c r="A48" s="5"/>
      <c r="B48" s="4"/>
      <c r="C48" s="4"/>
      <c r="D48" s="4"/>
      <c r="E48" s="4"/>
      <c r="F48" s="2"/>
      <c r="G48" s="2"/>
      <c r="H48" s="7"/>
      <c r="I48" s="3"/>
      <c r="J48" s="3"/>
      <c r="K48" s="6"/>
    </row>
    <row r="51" ht="12.75">
      <c r="K51" s="1"/>
    </row>
    <row r="53" ht="12.75">
      <c r="K53" s="1"/>
    </row>
    <row r="57" spans="8:10" ht="12.75">
      <c r="H57" s="2"/>
      <c r="I57" s="3"/>
      <c r="J57" s="3"/>
    </row>
    <row r="59" spans="2:10" ht="12.75">
      <c r="B59" s="4"/>
      <c r="C59" s="4"/>
      <c r="D59" s="4"/>
      <c r="E59" s="4"/>
      <c r="F59" s="2"/>
      <c r="G59" s="2"/>
      <c r="H59" s="3"/>
      <c r="I59" s="3"/>
      <c r="J59" s="3"/>
    </row>
    <row r="67" ht="12.75">
      <c r="K67" s="1"/>
    </row>
    <row r="69" ht="12.75">
      <c r="K69" s="1"/>
    </row>
    <row r="73" spans="8:10" ht="12.75">
      <c r="H73" s="2"/>
      <c r="I73" s="3"/>
      <c r="J73" s="3"/>
    </row>
    <row r="75" spans="2:10" ht="12.75">
      <c r="B75" s="4"/>
      <c r="C75" s="4"/>
      <c r="D75" s="4"/>
      <c r="E75" s="4"/>
      <c r="F75" s="2"/>
      <c r="G75" s="2"/>
      <c r="H75" s="3"/>
      <c r="I75" s="3"/>
      <c r="J75" s="3"/>
    </row>
    <row r="80" ht="12.75">
      <c r="M80" s="2"/>
    </row>
    <row r="83" ht="12.75">
      <c r="B83" s="1" t="s">
        <v>26</v>
      </c>
    </row>
    <row r="84" ht="12.75">
      <c r="B84" s="1" t="s">
        <v>27</v>
      </c>
    </row>
    <row r="90" ht="12.75">
      <c r="A90" s="1" t="s">
        <v>8</v>
      </c>
    </row>
    <row r="92" spans="1:11" ht="12.75">
      <c r="A92" t="s">
        <v>6</v>
      </c>
      <c r="B92" s="5">
        <v>100</v>
      </c>
      <c r="C92" s="5">
        <v>100</v>
      </c>
      <c r="D92" s="5">
        <v>100</v>
      </c>
      <c r="E92" s="5">
        <v>100</v>
      </c>
      <c r="F92" s="5">
        <v>100</v>
      </c>
      <c r="G92" s="5">
        <v>100</v>
      </c>
      <c r="H92" s="5">
        <v>100</v>
      </c>
      <c r="I92" s="5">
        <v>100</v>
      </c>
      <c r="J92" s="5">
        <v>100</v>
      </c>
      <c r="K92" s="5" t="s">
        <v>3</v>
      </c>
    </row>
    <row r="93" ht="12.75">
      <c r="K93" s="5" t="s">
        <v>28</v>
      </c>
    </row>
    <row r="95" ht="12.75">
      <c r="A95" s="1" t="s">
        <v>15</v>
      </c>
    </row>
    <row r="96" spans="1:13" ht="12.75">
      <c r="A96" t="s">
        <v>31</v>
      </c>
      <c r="B96">
        <v>320</v>
      </c>
      <c r="C96">
        <v>340</v>
      </c>
      <c r="D96">
        <v>400</v>
      </c>
      <c r="E96">
        <v>427</v>
      </c>
      <c r="F96">
        <v>485</v>
      </c>
      <c r="G96">
        <v>500</v>
      </c>
      <c r="H96">
        <v>600</v>
      </c>
      <c r="I96">
        <v>700</v>
      </c>
      <c r="J96">
        <v>800</v>
      </c>
      <c r="K96" t="s">
        <v>2</v>
      </c>
      <c r="M96" s="2"/>
    </row>
    <row r="97" ht="12.75">
      <c r="A97" t="s">
        <v>11</v>
      </c>
    </row>
    <row r="98" spans="1:11" ht="12.75">
      <c r="A98" t="s">
        <v>10</v>
      </c>
      <c r="B98">
        <f aca="true" t="shared" si="20" ref="B98:J98">SUM((((0.69*B96)+50+B96)*0.85)-B96)-60</f>
        <v>122.17999999999995</v>
      </c>
      <c r="C98">
        <f t="shared" si="20"/>
        <v>130.90999999999997</v>
      </c>
      <c r="D98">
        <f t="shared" si="20"/>
        <v>157.10000000000002</v>
      </c>
      <c r="E98">
        <f t="shared" si="20"/>
        <v>168.88549999999998</v>
      </c>
      <c r="F98">
        <f t="shared" si="20"/>
        <v>194.2025</v>
      </c>
      <c r="G98">
        <f t="shared" si="20"/>
        <v>200.75</v>
      </c>
      <c r="H98">
        <f t="shared" si="20"/>
        <v>244.39999999999998</v>
      </c>
      <c r="I98">
        <f t="shared" si="20"/>
        <v>288.04999999999995</v>
      </c>
      <c r="J98">
        <f t="shared" si="20"/>
        <v>331.70000000000005</v>
      </c>
      <c r="K98" t="s">
        <v>4</v>
      </c>
    </row>
    <row r="99" spans="1:11" ht="13.5" thickBot="1">
      <c r="A99" s="1" t="s">
        <v>29</v>
      </c>
      <c r="B99" s="125">
        <f aca="true" t="shared" si="21" ref="B99:J99">SUM(((((0.69*B96)+50+B96)*0.85)-B96)*0.85)-60</f>
        <v>94.85299999999995</v>
      </c>
      <c r="C99" s="11">
        <f t="shared" si="21"/>
        <v>102.27349999999996</v>
      </c>
      <c r="D99" s="11">
        <f t="shared" si="21"/>
        <v>124.53500000000003</v>
      </c>
      <c r="E99" s="11">
        <f t="shared" si="21"/>
        <v>134.55267499999997</v>
      </c>
      <c r="F99" s="11">
        <f t="shared" si="21"/>
        <v>156.07212499999997</v>
      </c>
      <c r="G99" s="11">
        <f t="shared" si="21"/>
        <v>161.6375</v>
      </c>
      <c r="H99" s="11">
        <f t="shared" si="21"/>
        <v>198.73999999999995</v>
      </c>
      <c r="I99" s="11">
        <f t="shared" si="21"/>
        <v>235.84249999999997</v>
      </c>
      <c r="J99" s="11">
        <f t="shared" si="21"/>
        <v>272.94500000000005</v>
      </c>
      <c r="K99" t="s">
        <v>5</v>
      </c>
    </row>
    <row r="100" spans="1:11" ht="13.5" thickBot="1">
      <c r="A100" s="6" t="s">
        <v>30</v>
      </c>
      <c r="B100" s="126">
        <f aca="true" t="shared" si="22" ref="B100:J100">SUM(((((0.69*B96)+50+B96)*0.85)-B96)*0.75)-60</f>
        <v>76.63499999999996</v>
      </c>
      <c r="C100" s="125">
        <f t="shared" si="22"/>
        <v>83.18249999999998</v>
      </c>
      <c r="D100" s="11">
        <f t="shared" si="22"/>
        <v>102.82500000000002</v>
      </c>
      <c r="E100" s="11">
        <f t="shared" si="22"/>
        <v>111.66412499999998</v>
      </c>
      <c r="F100" s="11">
        <f t="shared" si="22"/>
        <v>130.651875</v>
      </c>
      <c r="G100" s="11">
        <f t="shared" si="22"/>
        <v>135.5625</v>
      </c>
      <c r="H100" s="11">
        <f t="shared" si="22"/>
        <v>168.29999999999998</v>
      </c>
      <c r="I100" s="11">
        <f t="shared" si="22"/>
        <v>201.03749999999997</v>
      </c>
      <c r="J100" s="11">
        <f t="shared" si="22"/>
        <v>233.77500000000003</v>
      </c>
      <c r="K100" t="s">
        <v>23</v>
      </c>
    </row>
    <row r="101" spans="1:11" ht="13.5" thickBot="1">
      <c r="A101" s="6" t="s">
        <v>30</v>
      </c>
      <c r="B101" s="11">
        <f aca="true" t="shared" si="23" ref="B101:J101">SUM(((((((0.69*B96)+50)*0.77)+(B96*0.77))*0.95)-(B96*0.77))-60)</f>
        <v>125.7701999999999</v>
      </c>
      <c r="C101" s="11">
        <f t="shared" si="23"/>
        <v>135.0949</v>
      </c>
      <c r="D101" s="11">
        <f t="shared" si="23"/>
        <v>163.06899999999996</v>
      </c>
      <c r="E101" s="11">
        <f t="shared" si="23"/>
        <v>175.6573449999999</v>
      </c>
      <c r="F101" s="11">
        <f t="shared" si="23"/>
        <v>202.69897499999996</v>
      </c>
      <c r="G101" s="11">
        <f t="shared" si="23"/>
        <v>209.6925000000001</v>
      </c>
      <c r="H101" s="11">
        <f t="shared" si="23"/>
        <v>256.3159999999999</v>
      </c>
      <c r="I101" s="11">
        <f t="shared" si="23"/>
        <v>302.93950000000007</v>
      </c>
      <c r="J101" s="11">
        <f t="shared" si="23"/>
        <v>349.5629999999999</v>
      </c>
      <c r="K101" t="s">
        <v>70</v>
      </c>
    </row>
    <row r="102" spans="1:10" ht="13.5" thickBot="1">
      <c r="A102" s="6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6" t="s">
        <v>71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1" t="s">
        <v>32</v>
      </c>
      <c r="B104" s="6"/>
      <c r="C104" s="5"/>
      <c r="D104" s="5"/>
      <c r="E104" s="5"/>
      <c r="F104" s="5"/>
      <c r="G104" s="5"/>
      <c r="H104" s="5"/>
      <c r="I104" s="5"/>
      <c r="J104" s="5"/>
    </row>
    <row r="137" ht="12.75">
      <c r="M137" s="2"/>
    </row>
    <row r="151" ht="12.75">
      <c r="M151" s="2"/>
    </row>
    <row r="153" ht="12.75">
      <c r="M153" s="2"/>
    </row>
  </sheetData>
  <printOptions/>
  <pageMargins left="0.75" right="0.75" top="1" bottom="1" header="0.5" footer="0.5"/>
  <pageSetup fitToHeight="3" horizontalDpi="360" verticalDpi="360" orientation="landscape" scale="70" r:id="rId2"/>
  <rowBreaks count="3" manualBreakCount="3">
    <brk id="44" max="255" man="1"/>
    <brk id="87" max="255" man="1"/>
    <brk id="1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D7" sqref="D7"/>
    </sheetView>
  </sheetViews>
  <sheetFormatPr defaultColWidth="9.140625" defaultRowHeight="12.75"/>
  <sheetData>
    <row r="2" spans="1:3" ht="12.75">
      <c r="A2" t="s">
        <v>34</v>
      </c>
      <c r="C2" s="7" t="s">
        <v>33</v>
      </c>
    </row>
    <row r="5" spans="2:4" ht="12.75">
      <c r="B5">
        <v>320</v>
      </c>
      <c r="C5">
        <f aca="true" t="shared" si="0" ref="C5:C12">SUM((B5*0.85)+50)</f>
        <v>322</v>
      </c>
      <c r="D5">
        <f aca="true" t="shared" si="1" ref="D5:D12">SUM((B5*0.85))</f>
        <v>272</v>
      </c>
    </row>
    <row r="6" spans="2:4" ht="12.75">
      <c r="B6">
        <v>340</v>
      </c>
      <c r="C6">
        <f t="shared" si="0"/>
        <v>339</v>
      </c>
      <c r="D6">
        <f t="shared" si="1"/>
        <v>289</v>
      </c>
    </row>
    <row r="7" spans="2:4" ht="12.75">
      <c r="B7">
        <v>380</v>
      </c>
      <c r="C7">
        <f t="shared" si="0"/>
        <v>373</v>
      </c>
      <c r="D7">
        <f t="shared" si="1"/>
        <v>323</v>
      </c>
    </row>
    <row r="8" spans="2:4" ht="12.75">
      <c r="B8">
        <v>400</v>
      </c>
      <c r="C8">
        <f t="shared" si="0"/>
        <v>390</v>
      </c>
      <c r="D8">
        <f t="shared" si="1"/>
        <v>340</v>
      </c>
    </row>
    <row r="9" spans="2:4" ht="12.75">
      <c r="B9">
        <v>500</v>
      </c>
      <c r="C9">
        <f t="shared" si="0"/>
        <v>475</v>
      </c>
      <c r="D9">
        <f t="shared" si="1"/>
        <v>425</v>
      </c>
    </row>
    <row r="10" spans="2:4" ht="12.75">
      <c r="B10">
        <v>600</v>
      </c>
      <c r="C10">
        <f t="shared" si="0"/>
        <v>560</v>
      </c>
      <c r="D10">
        <f t="shared" si="1"/>
        <v>510</v>
      </c>
    </row>
    <row r="11" spans="2:4" ht="12.75">
      <c r="B11">
        <v>700</v>
      </c>
      <c r="C11">
        <f t="shared" si="0"/>
        <v>645</v>
      </c>
      <c r="D11">
        <f t="shared" si="1"/>
        <v>595</v>
      </c>
    </row>
    <row r="12" spans="2:4" ht="12.75">
      <c r="B12">
        <v>800</v>
      </c>
      <c r="C12">
        <f t="shared" si="0"/>
        <v>730</v>
      </c>
      <c r="D12">
        <f t="shared" si="1"/>
        <v>680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8">
      <selection activeCell="O1" sqref="O1"/>
    </sheetView>
  </sheetViews>
  <sheetFormatPr defaultColWidth="9.140625" defaultRowHeight="12.75"/>
  <sheetData>
    <row r="1" spans="2:6" ht="12.75">
      <c r="B1" s="28" t="s">
        <v>51</v>
      </c>
      <c r="C1" s="28"/>
      <c r="E1" s="28" t="s">
        <v>52</v>
      </c>
      <c r="F1" s="28"/>
    </row>
    <row r="2" spans="1:12" ht="12.75">
      <c r="A2" t="s">
        <v>55</v>
      </c>
      <c r="B2" t="s">
        <v>54</v>
      </c>
      <c r="C2" t="s">
        <v>53</v>
      </c>
      <c r="D2" t="s">
        <v>56</v>
      </c>
      <c r="E2" t="s">
        <v>54</v>
      </c>
      <c r="F2" t="s">
        <v>53</v>
      </c>
      <c r="G2" t="s">
        <v>56</v>
      </c>
      <c r="H2" t="s">
        <v>54</v>
      </c>
      <c r="I2" t="s">
        <v>53</v>
      </c>
      <c r="J2" t="s">
        <v>56</v>
      </c>
      <c r="K2" t="s">
        <v>54</v>
      </c>
      <c r="L2" t="s">
        <v>53</v>
      </c>
    </row>
    <row r="3" spans="2:12" ht="12.75">
      <c r="B3" s="29">
        <v>1.45</v>
      </c>
      <c r="C3" s="30">
        <v>-65</v>
      </c>
      <c r="D3" t="s">
        <v>57</v>
      </c>
      <c r="E3" s="31">
        <v>1.15</v>
      </c>
      <c r="F3" s="32">
        <v>-57</v>
      </c>
      <c r="G3" t="s">
        <v>57</v>
      </c>
      <c r="H3" s="33">
        <v>1.15</v>
      </c>
      <c r="I3" s="34">
        <v>0</v>
      </c>
      <c r="J3" t="s">
        <v>57</v>
      </c>
      <c r="K3" s="35">
        <v>1.11</v>
      </c>
      <c r="L3" s="36">
        <v>26</v>
      </c>
    </row>
    <row r="4" spans="2:12" ht="12.75">
      <c r="B4" s="37">
        <v>0.69</v>
      </c>
      <c r="C4" s="38">
        <v>50</v>
      </c>
      <c r="D4" s="28" t="s">
        <v>58</v>
      </c>
      <c r="E4" s="39">
        <v>0.85</v>
      </c>
      <c r="F4" s="40">
        <v>50</v>
      </c>
      <c r="G4" s="28" t="s">
        <v>58</v>
      </c>
      <c r="H4" s="41">
        <v>0.85</v>
      </c>
      <c r="I4" s="42">
        <v>0</v>
      </c>
      <c r="J4" s="28" t="s">
        <v>58</v>
      </c>
      <c r="K4" s="43">
        <v>0.9</v>
      </c>
      <c r="L4" s="44">
        <v>-23</v>
      </c>
    </row>
    <row r="5" spans="2:12" ht="12.75">
      <c r="B5" t="s">
        <v>59</v>
      </c>
      <c r="C5" t="s">
        <v>60</v>
      </c>
      <c r="E5" t="s">
        <v>59</v>
      </c>
      <c r="F5" t="s">
        <v>60</v>
      </c>
      <c r="H5" t="s">
        <v>59</v>
      </c>
      <c r="I5" t="s">
        <v>60</v>
      </c>
      <c r="K5" t="s">
        <v>59</v>
      </c>
      <c r="L5" t="s">
        <v>60</v>
      </c>
    </row>
    <row r="6" spans="2:12" ht="12.75">
      <c r="B6" s="45">
        <f>480*480-(800-(320-C$4)/B$4)*(800*B$4+C$4-320)/2-((800-C$3)/B$3-320)*(800-320*B$3-C$3)/2</f>
        <v>117325.2923538231</v>
      </c>
      <c r="C6" s="14">
        <f>B$6/B$6</f>
        <v>1</v>
      </c>
      <c r="E6" s="46">
        <f>480*480-(800-(320-F$4)/E$4)*(800*E$4+F$4-320)/2-((800-F$3)/E$3-320)*(800-320*E$3-F$3)/2</f>
        <v>27551.99488491047</v>
      </c>
      <c r="F6" s="47">
        <f>E$6/B$6</f>
        <v>0.23483423166609885</v>
      </c>
      <c r="G6" s="1"/>
      <c r="H6" s="48">
        <f>480*480-(800-(320-I$4)/H$4)*(800*H$4+I$4-320)/2-((800-I$3)/H$3-320)*(800-320*H$3-I$3)/2</f>
        <v>73023.83631713556</v>
      </c>
      <c r="I6" s="49">
        <f>H$6/B$6</f>
        <v>0.6224048954160227</v>
      </c>
      <c r="J6" s="1"/>
      <c r="K6" s="50">
        <f>480*480-(800-(320-L$4)/K$4)*(800*K$4+L$4-320)/2-((800-L$3)/K$3-320)*(800-320*K$3-L$3)/2</f>
        <v>72433.3903903904</v>
      </c>
      <c r="L6" s="51">
        <f>K$6/B$6</f>
        <v>0.61737234092671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Unitrode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Aloisi</dc:creator>
  <cp:keywords/>
  <dc:description/>
  <cp:lastModifiedBy>Paul D. Aloisi</cp:lastModifiedBy>
  <cp:lastPrinted>2000-11-02T17:05:25Z</cp:lastPrinted>
  <dcterms:created xsi:type="dcterms:W3CDTF">2000-04-27T10:01:35Z</dcterms:created>
  <dcterms:modified xsi:type="dcterms:W3CDTF">2000-11-02T17:08:49Z</dcterms:modified>
  <cp:category/>
  <cp:version/>
  <cp:contentType/>
  <cp:contentStatus/>
</cp:coreProperties>
</file>