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<sst xmlns="http://schemas.openxmlformats.org/spreadsheetml/2006/main" count="106" uniqueCount="74">
  <si>
    <t>Driver Fall Back 40%</t>
  </si>
  <si>
    <t>Nominal Voltage</t>
  </si>
  <si>
    <t xml:space="preserve">Millivolt drive </t>
  </si>
  <si>
    <t>mV</t>
  </si>
  <si>
    <t>mV signal at the receiver minus cable loss</t>
  </si>
  <si>
    <t>15% cable loss</t>
  </si>
  <si>
    <t>100 mV @ receiver</t>
  </si>
  <si>
    <t>Driver fall back 25%</t>
  </si>
  <si>
    <t>80 mV @ receiver</t>
  </si>
  <si>
    <t>SPI-3</t>
  </si>
  <si>
    <t>Min high drive, for 320 mV</t>
  </si>
  <si>
    <t>First step min 320 mV</t>
  </si>
  <si>
    <t>No driver imbalance, matched assertion and negation</t>
  </si>
  <si>
    <t>Trans FB min to assert (85%)</t>
  </si>
  <si>
    <t>First step 320 mV marginal</t>
  </si>
  <si>
    <t>Cable roll off to 85% signal</t>
  </si>
  <si>
    <t>Driver Fall back 33%</t>
  </si>
  <si>
    <t>Trans FB 40% roll off to 60%</t>
  </si>
  <si>
    <t>Trans FB 25% roll off to 60%</t>
  </si>
  <si>
    <t>Trans FB 33% roll off to 60%</t>
  </si>
  <si>
    <t>Tolorance driver</t>
  </si>
  <si>
    <t>Trans fb 40% roll off to 60%</t>
  </si>
  <si>
    <t>Trans fb 25% roll off to 60%</t>
  </si>
  <si>
    <t>Trans fb 33% roll off to 60%</t>
  </si>
  <si>
    <t>Red 80 mV receiver</t>
  </si>
  <si>
    <t>Blue 100 mV receiver</t>
  </si>
  <si>
    <t>Driver Precomp Proposal, Review</t>
  </si>
  <si>
    <t>Paul Aloisi - TI</t>
  </si>
  <si>
    <t>Drive tolerance calculation</t>
  </si>
  <si>
    <t>20 mV @ receiver</t>
  </si>
  <si>
    <t>Trans FB 22% to assert (60%)</t>
  </si>
  <si>
    <t>Driver fall back 22%</t>
  </si>
  <si>
    <t>Worst case, no driver tolerance</t>
  </si>
  <si>
    <t>46 mV receiver required, 60 mV Crosstalk and System Noise</t>
  </si>
  <si>
    <t>25% cable &amp; system loss</t>
  </si>
  <si>
    <t>Additional Data on backplane losses shows that SPI-2 and SPI-3 should have been 25% loss.</t>
  </si>
  <si>
    <t>Cable roll off to 60% signal -60 mV crosstalk &amp; Noise</t>
  </si>
  <si>
    <t>99-295 wide pulse</t>
  </si>
  <si>
    <t>Adding terminator tolerance and connector loss reduces 150 mV by 10% = 135 mV</t>
  </si>
  <si>
    <t>Crosstalk and system noise subtracts 60 mV leaving 75 mV for the receiver</t>
  </si>
  <si>
    <t>Isolated Transition</t>
  </si>
  <si>
    <t>SPI-3 Receiver signal</t>
  </si>
  <si>
    <t>Minimum signal at the receiver</t>
  </si>
  <si>
    <t>SPI-2/3 calculations</t>
  </si>
  <si>
    <t>Should be SPI-2/3</t>
  </si>
  <si>
    <t>SPI-2/3 driver</t>
  </si>
  <si>
    <t>Minimum drive level did not work in the worst case.</t>
  </si>
  <si>
    <t>(((V+VFB)*.6)-Vfb)-60)</t>
  </si>
  <si>
    <t>(((0.85*V)+50+Vfb)*0.6)-Vfb)-60</t>
  </si>
  <si>
    <t>Driver diagram</t>
  </si>
  <si>
    <t>No Fall back - toleranced 15%</t>
  </si>
  <si>
    <t>10% DC loss from cable, connectors and terminators</t>
  </si>
  <si>
    <t>Improved Tolerance driver asymmetry</t>
  </si>
  <si>
    <t xml:space="preserve">No Fall back </t>
  </si>
  <si>
    <t>Purple 20 mV receiver - active Filter</t>
  </si>
  <si>
    <t>Bold Black does not work without Adaptive Active Filter</t>
  </si>
  <si>
    <t>Adaptive Active filter may be required</t>
  </si>
  <si>
    <t>Adaptive Active filter required, eye pattern</t>
  </si>
  <si>
    <t>-5 mV receiver required - Adaptive Active Filter - no eye pattern</t>
  </si>
  <si>
    <t>Precomp off</t>
  </si>
  <si>
    <t>Assuming perfect driver assymetry</t>
  </si>
  <si>
    <t>Driver Assymetry caclulations</t>
  </si>
  <si>
    <t>00-227r6</t>
  </si>
  <si>
    <t>Signals levels below are at the connector of the receiving device, use the numbers with DC loss</t>
  </si>
  <si>
    <t>40 mV receiver needed minimum</t>
  </si>
  <si>
    <t>Recommended 0 mV Adaptive active filter</t>
  </si>
  <si>
    <t>Recommended -100 mV Adaptive Active Filter</t>
  </si>
  <si>
    <t>Trans fb 22% roll off to 70%</t>
  </si>
  <si>
    <t>Seagate numbers limits configuration</t>
  </si>
  <si>
    <t>Trans fb 40% roll off to 70%</t>
  </si>
  <si>
    <t>SPI-3 receiver levels, limits system loss</t>
  </si>
  <si>
    <t>(((0.85*(V*.9))+50+(Vfb*.9))*0.7)-(Vfb*.9))-60</t>
  </si>
  <si>
    <t>(((0.85*(V*.9))+50+(Vfb*.9))*0.6)-(Vfb*.9))-60 with DC loss</t>
  </si>
  <si>
    <t>0 mV receiver required - Adaptive Active Filter - no eye pattern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</si>
</sst>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9" fontId="0" fillId="0" borderId="0" xfId="0" applyNumberFormat="1" applyAlignment="1">
      <alignment/>
    </xf>
    <xf numFmtId="0" fontId="10" fillId="2" borderId="0" xfId="0" applyFont="1" applyFill="1" applyBorder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1" fillId="3" borderId="3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4" borderId="0" xfId="0" applyFont="1" applyFill="1" applyAlignment="1">
      <alignment/>
    </xf>
    <xf numFmtId="0" fontId="1" fillId="4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76200</xdr:rowOff>
    </xdr:from>
    <xdr:to>
      <xdr:col>13</xdr:col>
      <xdr:colOff>476250</xdr:colOff>
      <xdr:row>86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53350"/>
          <a:ext cx="9572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6</xdr:col>
      <xdr:colOff>476250</xdr:colOff>
      <xdr:row>122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01850"/>
          <a:ext cx="53054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="90" zoomScaleNormal="90" workbookViewId="0" topLeftCell="A1">
      <pane ySplit="9" topLeftCell="BM21" activePane="bottomLeft" state="frozen"/>
      <selection pane="topLeft" activeCell="A1" sqref="A1"/>
      <selection pane="bottomLeft" activeCell="K32" sqref="K32"/>
    </sheetView>
  </sheetViews>
  <sheetFormatPr defaultColWidth="9.140625" defaultRowHeight="12.75"/>
  <cols>
    <col min="1" max="1" width="25.7109375" style="0" customWidth="1"/>
    <col min="2" max="2" width="10.140625" style="0" bestFit="1" customWidth="1"/>
  </cols>
  <sheetData>
    <row r="1" ht="12.75">
      <c r="A1" s="1" t="s">
        <v>26</v>
      </c>
    </row>
    <row r="2" spans="1:2" ht="12.75">
      <c r="A2" t="s">
        <v>62</v>
      </c>
      <c r="B2" s="17">
        <v>36752</v>
      </c>
    </row>
    <row r="3" spans="1:11" ht="12.75">
      <c r="A3" s="1" t="s">
        <v>27</v>
      </c>
      <c r="B3" s="1">
        <v>320</v>
      </c>
      <c r="C3" s="1">
        <v>410</v>
      </c>
      <c r="D3" s="1">
        <v>427</v>
      </c>
      <c r="E3" s="1">
        <v>485</v>
      </c>
      <c r="F3" s="1">
        <v>500</v>
      </c>
      <c r="G3" s="1">
        <v>533</v>
      </c>
      <c r="H3" s="1">
        <v>600</v>
      </c>
      <c r="I3" s="1">
        <v>700</v>
      </c>
      <c r="J3" s="1">
        <v>800</v>
      </c>
      <c r="K3" s="1" t="s">
        <v>2</v>
      </c>
    </row>
    <row r="4" spans="1:13" ht="12.75">
      <c r="A4" t="s">
        <v>1</v>
      </c>
      <c r="M4" s="1"/>
    </row>
    <row r="5" ht="12.75">
      <c r="A5" t="s">
        <v>12</v>
      </c>
    </row>
    <row r="6" spans="1:13" ht="13.5" thickBot="1">
      <c r="A6" t="s">
        <v>31</v>
      </c>
      <c r="B6" s="26">
        <f aca="true" t="shared" si="0" ref="B6:J6">SUM(B3*0.78)</f>
        <v>249.60000000000002</v>
      </c>
      <c r="C6" s="10">
        <f t="shared" si="0"/>
        <v>319.8</v>
      </c>
      <c r="D6" s="10">
        <f t="shared" si="0"/>
        <v>333.06</v>
      </c>
      <c r="E6" s="10">
        <f t="shared" si="0"/>
        <v>378.3</v>
      </c>
      <c r="F6" s="10">
        <f t="shared" si="0"/>
        <v>390</v>
      </c>
      <c r="G6" s="10">
        <f>SUM(G3*0.78)</f>
        <v>415.74</v>
      </c>
      <c r="H6" s="10">
        <f t="shared" si="0"/>
        <v>468</v>
      </c>
      <c r="I6" s="10">
        <f t="shared" si="0"/>
        <v>546</v>
      </c>
      <c r="J6" s="10">
        <f t="shared" si="0"/>
        <v>624</v>
      </c>
      <c r="K6">
        <f>SUM(320/0.78)</f>
        <v>410.2564102564102</v>
      </c>
      <c r="L6" t="s">
        <v>3</v>
      </c>
      <c r="M6" s="6"/>
    </row>
    <row r="7" spans="1:13" ht="14.25" thickBot="1" thickTop="1">
      <c r="A7" t="s">
        <v>7</v>
      </c>
      <c r="B7" s="26">
        <f aca="true" t="shared" si="1" ref="B7:J7">SUM(B3*0.75)</f>
        <v>240</v>
      </c>
      <c r="C7" s="26">
        <f t="shared" si="1"/>
        <v>307.5</v>
      </c>
      <c r="D7" s="14">
        <f t="shared" si="1"/>
        <v>320.25</v>
      </c>
      <c r="E7" s="14">
        <f>SUM(E3*0.75)</f>
        <v>363.75</v>
      </c>
      <c r="F7" s="14">
        <f t="shared" si="1"/>
        <v>375</v>
      </c>
      <c r="G7" s="14">
        <f>SUM(G3*0.75)</f>
        <v>399.75</v>
      </c>
      <c r="H7" s="14">
        <f t="shared" si="1"/>
        <v>450</v>
      </c>
      <c r="I7" s="14">
        <f t="shared" si="1"/>
        <v>525</v>
      </c>
      <c r="J7" s="14">
        <f t="shared" si="1"/>
        <v>600</v>
      </c>
      <c r="K7">
        <f>SUM(320/0.75)</f>
        <v>426.6666666666667</v>
      </c>
      <c r="L7" t="s">
        <v>3</v>
      </c>
      <c r="M7" s="2"/>
    </row>
    <row r="8" spans="1:12" ht="14.25" thickBot="1" thickTop="1">
      <c r="A8" t="s">
        <v>16</v>
      </c>
      <c r="B8" s="26">
        <f aca="true" t="shared" si="2" ref="B8:J8">SUM(B3*0.66)</f>
        <v>211.20000000000002</v>
      </c>
      <c r="C8" s="26">
        <f t="shared" si="2"/>
        <v>270.6</v>
      </c>
      <c r="D8" s="26">
        <f>SUM(D3*0.66)</f>
        <v>281.82</v>
      </c>
      <c r="E8" s="14">
        <f>SUM(E3*0.66)</f>
        <v>320.1</v>
      </c>
      <c r="F8" s="14">
        <f t="shared" si="2"/>
        <v>330</v>
      </c>
      <c r="G8" s="14">
        <f>SUM(G3*0.66)</f>
        <v>351.78000000000003</v>
      </c>
      <c r="H8" s="14">
        <f t="shared" si="2"/>
        <v>396</v>
      </c>
      <c r="I8" s="14">
        <f t="shared" si="2"/>
        <v>462</v>
      </c>
      <c r="J8" s="14">
        <f t="shared" si="2"/>
        <v>528</v>
      </c>
      <c r="K8">
        <f>SUM(320/0.66)</f>
        <v>484.8484848484848</v>
      </c>
      <c r="L8" t="s">
        <v>3</v>
      </c>
    </row>
    <row r="9" spans="1:12" ht="14.25" thickBot="1" thickTop="1">
      <c r="A9" t="s">
        <v>0</v>
      </c>
      <c r="B9" s="26">
        <f aca="true" t="shared" si="3" ref="B9:J9">SUM(B3*0.6)</f>
        <v>192</v>
      </c>
      <c r="C9" s="26">
        <f t="shared" si="3"/>
        <v>246</v>
      </c>
      <c r="D9" s="26">
        <f>SUM(D3*0.6)</f>
        <v>256.2</v>
      </c>
      <c r="E9" s="26">
        <f>SUM(E3*0.6)</f>
        <v>291</v>
      </c>
      <c r="F9" s="26">
        <f t="shared" si="3"/>
        <v>300</v>
      </c>
      <c r="G9" s="14">
        <f>SUM(G3*0.6)</f>
        <v>319.8</v>
      </c>
      <c r="H9" s="14">
        <f t="shared" si="3"/>
        <v>360</v>
      </c>
      <c r="I9" s="14">
        <f t="shared" si="3"/>
        <v>420</v>
      </c>
      <c r="J9" s="14">
        <f t="shared" si="3"/>
        <v>480</v>
      </c>
      <c r="K9">
        <f>SUM(320/0.6)</f>
        <v>533.3333333333334</v>
      </c>
      <c r="L9" t="s">
        <v>3</v>
      </c>
    </row>
    <row r="10" spans="2:11" ht="13.5" thickTop="1">
      <c r="B10" s="44"/>
      <c r="C10" s="44"/>
      <c r="D10" s="44"/>
      <c r="E10" s="44"/>
      <c r="F10" s="44"/>
      <c r="G10" s="43"/>
      <c r="H10" s="43"/>
      <c r="I10" s="43"/>
      <c r="J10" s="43"/>
      <c r="K10" t="s">
        <v>10</v>
      </c>
    </row>
    <row r="11" spans="1:10" ht="12.75">
      <c r="A11" s="6" t="s">
        <v>60</v>
      </c>
      <c r="B11" s="44"/>
      <c r="C11" s="44" t="s">
        <v>63</v>
      </c>
      <c r="D11" s="44"/>
      <c r="F11" s="44"/>
      <c r="G11" s="43"/>
      <c r="H11" s="43"/>
      <c r="I11" s="43"/>
      <c r="J11" s="43"/>
    </row>
    <row r="12" spans="1:11" ht="12.75">
      <c r="A12" s="1" t="s">
        <v>53</v>
      </c>
      <c r="B12" s="36">
        <f aca="true" t="shared" si="4" ref="B12:J12">SUM(((B3+B3)*0.6)-B3)-60</f>
        <v>4</v>
      </c>
      <c r="C12" s="41">
        <f t="shared" si="4"/>
        <v>22</v>
      </c>
      <c r="D12" s="41">
        <f t="shared" si="4"/>
        <v>25.399999999999977</v>
      </c>
      <c r="E12" s="41">
        <f t="shared" si="4"/>
        <v>37</v>
      </c>
      <c r="F12" s="41">
        <f t="shared" si="4"/>
        <v>40</v>
      </c>
      <c r="G12" s="41">
        <f t="shared" si="4"/>
        <v>46.60000000000002</v>
      </c>
      <c r="H12" s="41">
        <f t="shared" si="4"/>
        <v>60</v>
      </c>
      <c r="I12" s="41">
        <f t="shared" si="4"/>
        <v>80</v>
      </c>
      <c r="J12" s="41">
        <f t="shared" si="4"/>
        <v>100</v>
      </c>
      <c r="K12" s="1"/>
    </row>
    <row r="13" spans="1:11" ht="13.5" thickBot="1">
      <c r="A13" s="1" t="s">
        <v>59</v>
      </c>
      <c r="B13" s="37">
        <f aca="true" t="shared" si="5" ref="B13:J13">SUM((((B3+B3)*0.6)-B3)*0.9)-60</f>
        <v>-2.3999999999999986</v>
      </c>
      <c r="C13" s="37">
        <f t="shared" si="5"/>
        <v>13.799999999999997</v>
      </c>
      <c r="D13" s="37">
        <f t="shared" si="5"/>
        <v>16.859999999999985</v>
      </c>
      <c r="E13" s="42">
        <f t="shared" si="5"/>
        <v>27.299999999999997</v>
      </c>
      <c r="F13" s="42">
        <f t="shared" si="5"/>
        <v>30</v>
      </c>
      <c r="G13" s="42">
        <f t="shared" si="5"/>
        <v>35.940000000000026</v>
      </c>
      <c r="H13" s="42">
        <f t="shared" si="5"/>
        <v>48</v>
      </c>
      <c r="I13" s="42">
        <f t="shared" si="5"/>
        <v>66</v>
      </c>
      <c r="J13" s="42">
        <f t="shared" si="5"/>
        <v>84</v>
      </c>
      <c r="K13" s="38" t="s">
        <v>51</v>
      </c>
    </row>
    <row r="14" spans="1:11" ht="12.75">
      <c r="A14" s="1" t="s">
        <v>32</v>
      </c>
      <c r="K14" s="45" t="s">
        <v>58</v>
      </c>
    </row>
    <row r="15" ht="12.75">
      <c r="A15" s="1" t="s">
        <v>36</v>
      </c>
    </row>
    <row r="16" spans="1:11" ht="12.75">
      <c r="A16" t="s">
        <v>30</v>
      </c>
      <c r="B16" s="28">
        <f aca="true" t="shared" si="6" ref="B16:J16">SUM(((B3+B6)*0.6)-B6)-60</f>
        <v>32.15999999999997</v>
      </c>
      <c r="C16" s="18">
        <f t="shared" si="6"/>
        <v>58.07999999999993</v>
      </c>
      <c r="D16" s="18">
        <f t="shared" si="6"/>
        <v>62.97599999999994</v>
      </c>
      <c r="E16" s="18">
        <f t="shared" si="6"/>
        <v>79.6799999999999</v>
      </c>
      <c r="F16" s="24">
        <f t="shared" si="6"/>
        <v>84</v>
      </c>
      <c r="G16" s="24">
        <f t="shared" si="6"/>
        <v>93.50400000000002</v>
      </c>
      <c r="H16" s="25">
        <f t="shared" si="6"/>
        <v>112.79999999999995</v>
      </c>
      <c r="I16" s="25">
        <f t="shared" si="6"/>
        <v>141.60000000000002</v>
      </c>
      <c r="J16" s="25">
        <f t="shared" si="6"/>
        <v>170.39999999999998</v>
      </c>
      <c r="K16" t="s">
        <v>4</v>
      </c>
    </row>
    <row r="17" spans="2:11" ht="13.5" thickBot="1">
      <c r="B17" s="26">
        <f>SUM((((B3+B6)*0.6)-B6)*0.9)-60</f>
        <v>22.943999999999974</v>
      </c>
      <c r="C17" s="20">
        <f aca="true" t="shared" si="7" ref="C17:J17">SUM((((C3+C6)*0.6)-C6)*0.9)-60</f>
        <v>46.271999999999935</v>
      </c>
      <c r="D17" s="20">
        <f t="shared" si="7"/>
        <v>50.678399999999954</v>
      </c>
      <c r="E17" s="20">
        <f t="shared" si="7"/>
        <v>65.7119999999999</v>
      </c>
      <c r="F17" s="20">
        <f t="shared" si="7"/>
        <v>69.6</v>
      </c>
      <c r="G17" s="20">
        <f t="shared" si="7"/>
        <v>78.15360000000001</v>
      </c>
      <c r="H17" s="22">
        <f t="shared" si="7"/>
        <v>95.51999999999995</v>
      </c>
      <c r="I17" s="23">
        <f t="shared" si="7"/>
        <v>121.44000000000003</v>
      </c>
      <c r="J17" s="23">
        <f t="shared" si="7"/>
        <v>147.35999999999999</v>
      </c>
      <c r="K17" s="38" t="s">
        <v>51</v>
      </c>
    </row>
    <row r="18" spans="1:11" ht="13.5" thickBot="1">
      <c r="A18" t="s">
        <v>18</v>
      </c>
      <c r="B18" s="28">
        <f aca="true" t="shared" si="8" ref="B18:J18">SUM(((B3+B7)*0.6)-B7)-60</f>
        <v>36</v>
      </c>
      <c r="C18" s="28">
        <f t="shared" si="8"/>
        <v>63</v>
      </c>
      <c r="D18" s="11">
        <f t="shared" si="8"/>
        <v>68.09999999999997</v>
      </c>
      <c r="E18" s="15">
        <f t="shared" si="8"/>
        <v>85.5</v>
      </c>
      <c r="F18" s="15">
        <f t="shared" si="8"/>
        <v>90</v>
      </c>
      <c r="G18" s="16">
        <f t="shared" si="8"/>
        <v>99.89999999999998</v>
      </c>
      <c r="H18" s="16">
        <f t="shared" si="8"/>
        <v>120</v>
      </c>
      <c r="I18" s="16">
        <f t="shared" si="8"/>
        <v>150</v>
      </c>
      <c r="J18" s="16">
        <f t="shared" si="8"/>
        <v>180</v>
      </c>
      <c r="K18" t="s">
        <v>4</v>
      </c>
    </row>
    <row r="19" spans="1:11" ht="14.25" thickBot="1" thickTop="1">
      <c r="A19" t="s">
        <v>19</v>
      </c>
      <c r="B19" s="28">
        <f aca="true" t="shared" si="9" ref="B19:J19">SUM(((B3+B8)*0.6)-B8)-60</f>
        <v>47.52000000000001</v>
      </c>
      <c r="C19" s="28">
        <f t="shared" si="9"/>
        <v>77.75999999999999</v>
      </c>
      <c r="D19" s="27">
        <f t="shared" si="9"/>
        <v>83.47199999999998</v>
      </c>
      <c r="E19" s="13">
        <f t="shared" si="9"/>
        <v>102.95999999999998</v>
      </c>
      <c r="F19" s="13">
        <f t="shared" si="9"/>
        <v>108</v>
      </c>
      <c r="G19" s="13">
        <f t="shared" si="9"/>
        <v>119.08799999999991</v>
      </c>
      <c r="H19" s="13">
        <f t="shared" si="9"/>
        <v>141.60000000000002</v>
      </c>
      <c r="I19" s="13">
        <f t="shared" si="9"/>
        <v>175.19999999999993</v>
      </c>
      <c r="J19" s="13">
        <f t="shared" si="9"/>
        <v>208.79999999999995</v>
      </c>
      <c r="K19" t="s">
        <v>4</v>
      </c>
    </row>
    <row r="20" spans="1:11" ht="13.5" thickTop="1">
      <c r="A20" t="s">
        <v>17</v>
      </c>
      <c r="B20" s="28">
        <f aca="true" t="shared" si="10" ref="B20:J20">SUM(((B3+B9)*0.6)-B9)-60</f>
        <v>55.19999999999999</v>
      </c>
      <c r="C20" s="27">
        <f t="shared" si="10"/>
        <v>87.59999999999997</v>
      </c>
      <c r="D20" s="27">
        <f t="shared" si="10"/>
        <v>93.72000000000003</v>
      </c>
      <c r="E20" s="29">
        <f t="shared" si="10"/>
        <v>114.59999999999997</v>
      </c>
      <c r="F20" s="29">
        <f t="shared" si="10"/>
        <v>120</v>
      </c>
      <c r="G20" s="21">
        <f t="shared" si="10"/>
        <v>131.87999999999994</v>
      </c>
      <c r="H20" s="21">
        <f t="shared" si="10"/>
        <v>156</v>
      </c>
      <c r="I20" s="21">
        <f t="shared" si="10"/>
        <v>192</v>
      </c>
      <c r="J20" s="21">
        <f t="shared" si="10"/>
        <v>228</v>
      </c>
      <c r="K20" t="s">
        <v>4</v>
      </c>
    </row>
    <row r="21" spans="2:11" ht="13.5" thickBot="1">
      <c r="B21" s="28">
        <f aca="true" t="shared" si="11" ref="B21:J21">SUM((((B3+B9)*0.6)-B9)*0.9)-60</f>
        <v>43.67999999999999</v>
      </c>
      <c r="C21" s="28">
        <f t="shared" si="11"/>
        <v>72.83999999999997</v>
      </c>
      <c r="D21" s="28">
        <f t="shared" si="11"/>
        <v>78.34800000000004</v>
      </c>
      <c r="E21" s="27">
        <f t="shared" si="11"/>
        <v>97.13999999999999</v>
      </c>
      <c r="F21" s="29">
        <f t="shared" si="11"/>
        <v>102</v>
      </c>
      <c r="G21" s="34">
        <f t="shared" si="11"/>
        <v>112.69199999999995</v>
      </c>
      <c r="H21" s="34">
        <f t="shared" si="11"/>
        <v>134.4</v>
      </c>
      <c r="I21" s="34">
        <f t="shared" si="11"/>
        <v>166.8</v>
      </c>
      <c r="J21" s="34">
        <f t="shared" si="11"/>
        <v>199.2</v>
      </c>
      <c r="K21" s="38" t="s">
        <v>51</v>
      </c>
    </row>
    <row r="22" spans="2:11" ht="12.75">
      <c r="B22" s="4"/>
      <c r="C22" s="9"/>
      <c r="D22" s="6"/>
      <c r="E22" s="6"/>
      <c r="F22" s="6"/>
      <c r="G22" s="3" t="s">
        <v>47</v>
      </c>
      <c r="I22" s="3"/>
      <c r="J22" s="3"/>
      <c r="K22" s="6" t="s">
        <v>33</v>
      </c>
    </row>
    <row r="23" spans="2:11" ht="12.7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2.75">
      <c r="A24" s="1" t="s">
        <v>29</v>
      </c>
      <c r="B24" s="8">
        <v>20</v>
      </c>
      <c r="C24" s="8">
        <v>20</v>
      </c>
      <c r="D24" s="8">
        <v>20</v>
      </c>
      <c r="E24" s="8">
        <v>20</v>
      </c>
      <c r="F24" s="8">
        <v>20</v>
      </c>
      <c r="G24" s="8">
        <v>20</v>
      </c>
      <c r="H24" s="8">
        <v>20</v>
      </c>
      <c r="I24" s="8">
        <v>20</v>
      </c>
      <c r="J24" s="8">
        <v>20</v>
      </c>
      <c r="K24" s="8" t="s">
        <v>3</v>
      </c>
      <c r="L24" s="8" t="s">
        <v>57</v>
      </c>
    </row>
    <row r="25" spans="1:12" ht="12.75">
      <c r="A25" s="1" t="s">
        <v>8</v>
      </c>
      <c r="B25" s="6">
        <v>80</v>
      </c>
      <c r="C25" s="6">
        <v>80</v>
      </c>
      <c r="D25" s="6">
        <v>80</v>
      </c>
      <c r="E25" s="6">
        <v>80</v>
      </c>
      <c r="F25" s="6">
        <v>80</v>
      </c>
      <c r="G25" s="6">
        <v>80</v>
      </c>
      <c r="H25" s="6">
        <v>80</v>
      </c>
      <c r="I25" s="6">
        <v>80</v>
      </c>
      <c r="J25" s="6">
        <v>80</v>
      </c>
      <c r="K25" s="6" t="s">
        <v>3</v>
      </c>
      <c r="L25" t="s">
        <v>37</v>
      </c>
    </row>
    <row r="26" spans="1:12" ht="12.75">
      <c r="A26" s="1" t="s">
        <v>6</v>
      </c>
      <c r="B26" s="5">
        <v>100</v>
      </c>
      <c r="C26" s="5">
        <v>100</v>
      </c>
      <c r="D26" s="5">
        <v>100</v>
      </c>
      <c r="E26" s="5">
        <v>100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 t="s">
        <v>3</v>
      </c>
      <c r="L26" s="1" t="s">
        <v>55</v>
      </c>
    </row>
    <row r="27" ht="12.75">
      <c r="L27" s="8" t="s">
        <v>54</v>
      </c>
    </row>
    <row r="28" spans="1:12" ht="12.75">
      <c r="A28" s="6" t="s">
        <v>61</v>
      </c>
      <c r="B28" s="4"/>
      <c r="C28" s="4"/>
      <c r="D28" s="4"/>
      <c r="E28" s="4"/>
      <c r="F28" s="2"/>
      <c r="H28" s="3"/>
      <c r="I28" s="3"/>
      <c r="J28" s="3"/>
      <c r="L28" s="6" t="s">
        <v>24</v>
      </c>
    </row>
    <row r="29" spans="1:12" ht="12.75">
      <c r="A29" s="1" t="s">
        <v>50</v>
      </c>
      <c r="B29" s="50">
        <f aca="true" t="shared" si="12" ref="B29:J29">SUM((((0.85*B3)+50+B3)*0.6)-B3)-60</f>
        <v>5.199999999999989</v>
      </c>
      <c r="C29" s="36">
        <f t="shared" si="12"/>
        <v>15.099999999999966</v>
      </c>
      <c r="D29" s="36">
        <f t="shared" si="12"/>
        <v>16.970000000000027</v>
      </c>
      <c r="E29" s="41">
        <f t="shared" si="12"/>
        <v>23.350000000000023</v>
      </c>
      <c r="F29" s="41">
        <f t="shared" si="12"/>
        <v>25</v>
      </c>
      <c r="G29" s="41">
        <f t="shared" si="12"/>
        <v>28.629999999999995</v>
      </c>
      <c r="H29" s="41">
        <f t="shared" si="12"/>
        <v>36</v>
      </c>
      <c r="I29" s="41">
        <f t="shared" si="12"/>
        <v>47</v>
      </c>
      <c r="J29" s="41">
        <f t="shared" si="12"/>
        <v>58</v>
      </c>
      <c r="K29" s="1"/>
      <c r="L29" s="5" t="s">
        <v>25</v>
      </c>
    </row>
    <row r="30" spans="1:11" ht="13.5" thickBot="1">
      <c r="A30" s="1" t="s">
        <v>59</v>
      </c>
      <c r="B30" s="51">
        <f>SUM(((((0.85*(B3*0.9))+50+(B3*0.9))*0.6)-(B3*0.9))-60)</f>
        <v>1.67999999999995</v>
      </c>
      <c r="C30" s="37">
        <f>SUM(((((0.85*(C3*0.9))+50+(C3*0.9))*0.6)-(C3*0.9))-60)</f>
        <v>10.589999999999975</v>
      </c>
      <c r="D30" s="37">
        <f>SUM(((((0.85*(D3*0.9))+50+(D3*0.9))*0.6)-(D3*0.9))-60)</f>
        <v>12.27299999999991</v>
      </c>
      <c r="E30" s="37">
        <f>SUM(((((0.85*(E3*0.9))+50+(E3*0.9))*0.6)-(E3*0.9))-60)</f>
        <v>18.014999999999986</v>
      </c>
      <c r="F30" s="37">
        <f>SUM(((((0.85*(F3*0.9))+50+(F3*0.9))*0.6)-(F3*0.9))-60)</f>
        <v>19.5</v>
      </c>
      <c r="G30" s="42">
        <f>SUM(((((0.85*(G3*0.9))+50+(G3*0.9))*0.6)-(G3*0.9))-60)</f>
        <v>22.766999999999996</v>
      </c>
      <c r="H30" s="42">
        <f>SUM(((((0.85*(H3*0.9))+50+(H3*0.9))*0.6)-(H3*0.9))-60)</f>
        <v>29.399999999999977</v>
      </c>
      <c r="I30" s="42">
        <f>SUM(((((0.85*(I3*0.9))+50+(I3*0.9))*0.6)-(I3*0.9))-60)</f>
        <v>39.299999999999955</v>
      </c>
      <c r="J30" s="42">
        <f>SUM(((((0.85*(J3*0.9))+50+(J3*0.9))*0.6)-(J3*0.9))-60)</f>
        <v>49.19999999999993</v>
      </c>
      <c r="K30" s="38" t="s">
        <v>51</v>
      </c>
    </row>
    <row r="31" spans="1:11" ht="12.75">
      <c r="A31" s="1" t="s">
        <v>52</v>
      </c>
      <c r="C31" s="40">
        <v>0.15</v>
      </c>
      <c r="K31" s="46" t="s">
        <v>73</v>
      </c>
    </row>
    <row r="32" spans="1:11" ht="12.75">
      <c r="A32" s="1" t="s">
        <v>36</v>
      </c>
      <c r="K32" s="6" t="s">
        <v>66</v>
      </c>
    </row>
    <row r="33" spans="1:11" ht="12.75">
      <c r="A33" t="s">
        <v>30</v>
      </c>
      <c r="B33" s="30">
        <f aca="true" t="shared" si="13" ref="B33:J33">SUM((((0.85*B3)+50+B6)*0.6)-B6)-60</f>
        <v>33.35999999999996</v>
      </c>
      <c r="C33" s="18">
        <f>SUM((((0.85*C3)+50+C6)*0.6)-C6)-60</f>
        <v>51.17999999999995</v>
      </c>
      <c r="D33" s="18">
        <f t="shared" si="13"/>
        <v>54.54599999999999</v>
      </c>
      <c r="E33" s="18">
        <f t="shared" si="13"/>
        <v>66.02999999999992</v>
      </c>
      <c r="F33" s="18">
        <f t="shared" si="13"/>
        <v>69</v>
      </c>
      <c r="G33" s="18">
        <f t="shared" si="13"/>
        <v>75.53399999999999</v>
      </c>
      <c r="H33" s="24">
        <f t="shared" si="13"/>
        <v>88.79999999999995</v>
      </c>
      <c r="I33" s="25">
        <f t="shared" si="13"/>
        <v>108.60000000000002</v>
      </c>
      <c r="J33" s="25">
        <f t="shared" si="13"/>
        <v>128.39999999999998</v>
      </c>
      <c r="K33" t="s">
        <v>4</v>
      </c>
    </row>
    <row r="34" spans="2:11" ht="13.5" thickBot="1">
      <c r="B34" s="35">
        <f aca="true" t="shared" si="14" ref="B34:J34">SUM(((((0.85*(B3*0.9))+50+(B6*0.9))*0.6)-(B6*0.9)-60))</f>
        <v>27.023999999999916</v>
      </c>
      <c r="C34" s="20">
        <f t="shared" si="14"/>
        <v>43.06200000000001</v>
      </c>
      <c r="D34" s="20">
        <f t="shared" si="14"/>
        <v>46.091399999999965</v>
      </c>
      <c r="E34" s="20">
        <f t="shared" si="14"/>
        <v>56.426999999999964</v>
      </c>
      <c r="F34" s="20">
        <f t="shared" si="14"/>
        <v>59.099999999999966</v>
      </c>
      <c r="G34" s="20">
        <f t="shared" si="14"/>
        <v>64.98060000000004</v>
      </c>
      <c r="H34" s="20">
        <f t="shared" si="14"/>
        <v>76.92000000000002</v>
      </c>
      <c r="I34" s="22">
        <f t="shared" si="14"/>
        <v>94.73999999999995</v>
      </c>
      <c r="J34" s="49">
        <f t="shared" si="14"/>
        <v>112.55999999999995</v>
      </c>
      <c r="K34" s="38" t="s">
        <v>51</v>
      </c>
    </row>
    <row r="35" spans="1:10" ht="13.5" thickBot="1">
      <c r="A35" t="s">
        <v>22</v>
      </c>
      <c r="B35" s="30">
        <f aca="true" t="shared" si="15" ref="B35:J35">SUM((((0.85*B3)+50+B7)*0.6)-B7)-60</f>
        <v>37.19999999999999</v>
      </c>
      <c r="C35" s="30">
        <f t="shared" si="15"/>
        <v>56.099999999999966</v>
      </c>
      <c r="D35" s="11">
        <f t="shared" si="15"/>
        <v>59.670000000000016</v>
      </c>
      <c r="E35" s="11">
        <f t="shared" si="15"/>
        <v>71.84999999999997</v>
      </c>
      <c r="F35" s="11">
        <f t="shared" si="15"/>
        <v>75</v>
      </c>
      <c r="G35" s="15">
        <f t="shared" si="15"/>
        <v>81.92999999999995</v>
      </c>
      <c r="H35" s="15">
        <f t="shared" si="15"/>
        <v>96</v>
      </c>
      <c r="I35" s="16">
        <f t="shared" si="15"/>
        <v>117</v>
      </c>
      <c r="J35" s="16">
        <f t="shared" si="15"/>
        <v>138</v>
      </c>
    </row>
    <row r="36" spans="1:10" ht="14.25" thickBot="1" thickTop="1">
      <c r="A36" t="s">
        <v>23</v>
      </c>
      <c r="B36" s="30">
        <f aca="true" t="shared" si="16" ref="B36:J36">SUM((((0.85*B3)+50+B8)*0.6)-B8)-60</f>
        <v>48.72</v>
      </c>
      <c r="C36" s="30">
        <f t="shared" si="16"/>
        <v>70.85999999999996</v>
      </c>
      <c r="D36" s="31">
        <f t="shared" si="16"/>
        <v>75.04199999999997</v>
      </c>
      <c r="E36" s="12">
        <f t="shared" si="16"/>
        <v>89.30999999999995</v>
      </c>
      <c r="F36" s="12">
        <f t="shared" si="16"/>
        <v>93</v>
      </c>
      <c r="G36" s="13">
        <f t="shared" si="16"/>
        <v>101.118</v>
      </c>
      <c r="H36" s="13">
        <f t="shared" si="16"/>
        <v>117.60000000000002</v>
      </c>
      <c r="I36" s="13">
        <f t="shared" si="16"/>
        <v>142.19999999999993</v>
      </c>
      <c r="J36" s="13">
        <f t="shared" si="16"/>
        <v>166.79999999999995</v>
      </c>
    </row>
    <row r="37" spans="1:11" ht="13.5" thickTop="1">
      <c r="A37" t="s">
        <v>21</v>
      </c>
      <c r="B37" s="30">
        <f aca="true" t="shared" si="17" ref="B37:J37">SUM((((0.85*B3)+50+B9)*0.6)-B9)-60</f>
        <v>56.39999999999998</v>
      </c>
      <c r="C37" s="32">
        <f t="shared" si="17"/>
        <v>80.69999999999999</v>
      </c>
      <c r="D37" s="32">
        <f t="shared" si="17"/>
        <v>85.28999999999996</v>
      </c>
      <c r="E37" s="39">
        <f t="shared" si="17"/>
        <v>100.94999999999999</v>
      </c>
      <c r="F37" s="39">
        <f t="shared" si="17"/>
        <v>105</v>
      </c>
      <c r="G37" s="21">
        <f t="shared" si="17"/>
        <v>113.90999999999997</v>
      </c>
      <c r="H37" s="21">
        <f t="shared" si="17"/>
        <v>132</v>
      </c>
      <c r="I37" s="21">
        <f t="shared" si="17"/>
        <v>159</v>
      </c>
      <c r="J37" s="21">
        <f t="shared" si="17"/>
        <v>186</v>
      </c>
      <c r="K37" t="s">
        <v>4</v>
      </c>
    </row>
    <row r="38" spans="2:11" ht="13.5" thickBot="1">
      <c r="B38" s="30">
        <f>SUM(((((0.85*(B3*0.9))+50+(B9*0.9))*0.6)-(B9*0.9)-60))</f>
        <v>47.759999999999934</v>
      </c>
      <c r="C38" s="30">
        <f>SUM(((((0.85*(C3*0.9))+50+(C9*0.9))*0.6)-(C9*0.9)-60))</f>
        <v>69.62999999999997</v>
      </c>
      <c r="D38" s="30">
        <f>SUM(((((0.85*(D3*0.9))+50+(D9*0.9))*0.6)-(D9*0.9)-60))</f>
        <v>73.76099999999997</v>
      </c>
      <c r="E38" s="32">
        <f>SUM(((((0.85*(E3*0.9))+50+(E9*0.9))*0.6)-(E9*0.9)-60))</f>
        <v>87.8549999999999</v>
      </c>
      <c r="F38" s="32">
        <f>SUM(((((0.85*(F3*0.9))+50+(F9*0.9))*0.6)-(F9*0.9)-60))</f>
        <v>91.5</v>
      </c>
      <c r="G38" s="22">
        <f>SUM(((((0.85*(G3*0.9)+50+(G9*0.9))*0.6)-(G9*0.9)-60)))</f>
        <v>99.519</v>
      </c>
      <c r="H38" s="23">
        <f>SUM(((((0.85*(H3*0.9)+50+(H9*0.9))*0.6)-(H9*0.9)-60)))</f>
        <v>115.79999999999995</v>
      </c>
      <c r="I38" s="23">
        <f>SUM(((((0.85*(I3*0.9)+50+(I9*0.9))*0.6)-(I9*0.9)-60)))</f>
        <v>140.10000000000002</v>
      </c>
      <c r="J38" s="23">
        <f>SUM(((((0.85*(J3*0.9)+50+(J9*0.9))*0.6)-(J9*0.9)-60)))</f>
        <v>164.39999999999998</v>
      </c>
      <c r="K38" s="38" t="s">
        <v>51</v>
      </c>
    </row>
    <row r="39" spans="2:11" ht="12.75">
      <c r="B39" s="4"/>
      <c r="C39" s="4"/>
      <c r="D39" s="4"/>
      <c r="E39" s="7" t="s">
        <v>48</v>
      </c>
      <c r="F39" s="2"/>
      <c r="G39" s="2"/>
      <c r="H39" s="3"/>
      <c r="I39" s="3"/>
      <c r="J39" s="3"/>
      <c r="K39" s="6" t="s">
        <v>56</v>
      </c>
    </row>
    <row r="40" spans="1:11" ht="12.75">
      <c r="A40" s="5" t="s">
        <v>28</v>
      </c>
      <c r="B40" s="4"/>
      <c r="C40" s="4"/>
      <c r="D40" s="4"/>
      <c r="E40" s="7" t="s">
        <v>72</v>
      </c>
      <c r="I40" s="3"/>
      <c r="J40" s="3"/>
      <c r="K40" s="6" t="s">
        <v>64</v>
      </c>
    </row>
    <row r="41" spans="1:11" ht="12.75">
      <c r="A41" s="5"/>
      <c r="B41" s="4"/>
      <c r="C41" s="4"/>
      <c r="D41" s="4"/>
      <c r="E41" s="4"/>
      <c r="G41" s="7"/>
      <c r="I41" s="3"/>
      <c r="J41" s="3"/>
      <c r="K41" s="6" t="s">
        <v>65</v>
      </c>
    </row>
    <row r="42" spans="1:11" ht="12.75">
      <c r="A42" s="5" t="s">
        <v>68</v>
      </c>
      <c r="B42" s="4"/>
      <c r="C42" s="4"/>
      <c r="D42" s="4"/>
      <c r="E42" s="4"/>
      <c r="F42" s="2"/>
      <c r="G42" s="7"/>
      <c r="I42" s="3"/>
      <c r="J42" s="3"/>
      <c r="K42" s="6"/>
    </row>
    <row r="43" spans="1:11" ht="13.5" thickBot="1">
      <c r="A43" s="48" t="s">
        <v>67</v>
      </c>
      <c r="B43" s="47">
        <f>SUM(((((0.85*(B3*0.9))+50+(B6*0.9))*0.7)-(B6*0.9)-60))</f>
        <v>78.96799999999993</v>
      </c>
      <c r="C43" s="23">
        <f aca="true" t="shared" si="18" ref="C43:J43">SUM((((((0.85*(C3*0.9))+50+(C6*0.9))*0.7)-(C6*0.9)-60)))</f>
        <v>108.209</v>
      </c>
      <c r="D43" s="23">
        <f t="shared" si="18"/>
        <v>113.73229999999995</v>
      </c>
      <c r="E43" s="23">
        <f t="shared" si="18"/>
        <v>132.5764999999999</v>
      </c>
      <c r="F43" s="23">
        <f t="shared" si="18"/>
        <v>137.44999999999993</v>
      </c>
      <c r="G43" s="23">
        <f t="shared" si="18"/>
        <v>148.17170000000004</v>
      </c>
      <c r="H43" s="23">
        <f t="shared" si="18"/>
        <v>169.94</v>
      </c>
      <c r="I43" s="23">
        <f t="shared" si="18"/>
        <v>202.43</v>
      </c>
      <c r="J43" s="23">
        <f t="shared" si="18"/>
        <v>234.91999999999985</v>
      </c>
      <c r="K43" s="38" t="s">
        <v>51</v>
      </c>
    </row>
    <row r="44" spans="1:11" ht="13.5" thickBot="1">
      <c r="A44" s="48" t="s">
        <v>69</v>
      </c>
      <c r="B44" s="47">
        <f aca="true" t="shared" si="19" ref="B44:J44">SUM(((((0.85*(B3*0.9))+50+(B9*0.9))*0.7)-(B9*0.9)-60))</f>
        <v>94.51999999999992</v>
      </c>
      <c r="C44" s="47">
        <f t="shared" si="19"/>
        <v>128.13499999999996</v>
      </c>
      <c r="D44" s="47">
        <f t="shared" si="19"/>
        <v>134.4844999999999</v>
      </c>
      <c r="E44" s="47">
        <f t="shared" si="19"/>
        <v>156.14749999999992</v>
      </c>
      <c r="F44" s="47">
        <f t="shared" si="19"/>
        <v>161.74999999999994</v>
      </c>
      <c r="G44" s="23">
        <f t="shared" si="19"/>
        <v>174.07549999999998</v>
      </c>
      <c r="H44" s="23">
        <f t="shared" si="19"/>
        <v>199.0999999999999</v>
      </c>
      <c r="I44" s="23">
        <f t="shared" si="19"/>
        <v>236.44999999999993</v>
      </c>
      <c r="J44" s="23">
        <f t="shared" si="19"/>
        <v>273.79999999999995</v>
      </c>
      <c r="K44" s="38" t="s">
        <v>51</v>
      </c>
    </row>
    <row r="45" spans="1:11" ht="12.75">
      <c r="A45" s="5"/>
      <c r="B45" s="4"/>
      <c r="C45" s="4"/>
      <c r="D45" s="4"/>
      <c r="E45" s="7" t="s">
        <v>71</v>
      </c>
      <c r="F45" s="2"/>
      <c r="I45" s="3"/>
      <c r="J45" s="3"/>
      <c r="K45" s="6" t="s">
        <v>70</v>
      </c>
    </row>
    <row r="46" spans="1:10" ht="12.75">
      <c r="A46" s="5"/>
      <c r="B46" s="4"/>
      <c r="C46" s="4"/>
      <c r="D46" s="4"/>
      <c r="E46" s="4"/>
      <c r="F46" s="2"/>
      <c r="G46" s="2"/>
      <c r="H46" s="7"/>
      <c r="I46" s="3"/>
      <c r="J46" s="3"/>
    </row>
    <row r="47" spans="1:11" ht="12.75">
      <c r="A47" s="5"/>
      <c r="B47" s="4"/>
      <c r="C47" s="4"/>
      <c r="D47" s="4"/>
      <c r="E47" s="4"/>
      <c r="F47" s="2"/>
      <c r="G47" s="2"/>
      <c r="H47" s="7"/>
      <c r="I47" s="3"/>
      <c r="J47" s="3"/>
      <c r="K47" s="6"/>
    </row>
    <row r="50" ht="12.75">
      <c r="K50" s="1"/>
    </row>
    <row r="52" ht="12.75">
      <c r="K52" s="1"/>
    </row>
    <row r="56" spans="8:10" ht="12.75">
      <c r="H56" s="2"/>
      <c r="I56" s="3"/>
      <c r="J56" s="3"/>
    </row>
    <row r="58" spans="2:10" ht="12.75">
      <c r="B58" s="4"/>
      <c r="C58" s="4"/>
      <c r="D58" s="4"/>
      <c r="E58" s="4"/>
      <c r="F58" s="2"/>
      <c r="G58" s="2"/>
      <c r="H58" s="3"/>
      <c r="I58" s="3"/>
      <c r="J58" s="3"/>
    </row>
    <row r="64" ht="12.75">
      <c r="M64" s="2"/>
    </row>
    <row r="66" ht="12.75">
      <c r="K66" s="1"/>
    </row>
    <row r="68" ht="12.75">
      <c r="K68" s="1"/>
    </row>
    <row r="72" spans="8:10" ht="12.75">
      <c r="H72" s="2"/>
      <c r="I72" s="3"/>
      <c r="J72" s="3"/>
    </row>
    <row r="74" spans="2:10" ht="12.75">
      <c r="B74" s="4"/>
      <c r="C74" s="4"/>
      <c r="D74" s="4"/>
      <c r="E74" s="4"/>
      <c r="F74" s="2"/>
      <c r="G74" s="2"/>
      <c r="H74" s="3"/>
      <c r="I74" s="3"/>
      <c r="J74" s="3"/>
    </row>
    <row r="80" ht="12.75">
      <c r="M80" s="2"/>
    </row>
    <row r="82" ht="12.75">
      <c r="B82" s="1" t="s">
        <v>38</v>
      </c>
    </row>
    <row r="83" ht="12.75">
      <c r="B83" s="1" t="s">
        <v>39</v>
      </c>
    </row>
    <row r="127" ht="12.75">
      <c r="A127" s="1" t="s">
        <v>9</v>
      </c>
    </row>
    <row r="128" spans="2:11" ht="12.75">
      <c r="B128">
        <v>320</v>
      </c>
      <c r="C128">
        <v>340</v>
      </c>
      <c r="D128">
        <v>400</v>
      </c>
      <c r="E128">
        <v>427</v>
      </c>
      <c r="F128">
        <v>485</v>
      </c>
      <c r="G128">
        <v>500</v>
      </c>
      <c r="H128">
        <v>600</v>
      </c>
      <c r="I128">
        <v>700</v>
      </c>
      <c r="J128">
        <v>800</v>
      </c>
      <c r="K128" t="s">
        <v>2</v>
      </c>
    </row>
    <row r="129" ht="12.75">
      <c r="A129" t="s">
        <v>1</v>
      </c>
    </row>
    <row r="131" spans="1:11" ht="12.75">
      <c r="A131" t="s">
        <v>45</v>
      </c>
      <c r="B131">
        <f aca="true" t="shared" si="20" ref="B131:J131">SUM(B128)</f>
        <v>320</v>
      </c>
      <c r="C131">
        <f>SUM(C128)</f>
        <v>340</v>
      </c>
      <c r="D131">
        <f>SUM(D128)</f>
        <v>400</v>
      </c>
      <c r="E131">
        <f>SUM(E128)</f>
        <v>427</v>
      </c>
      <c r="F131">
        <f>SUM(F128)</f>
        <v>485</v>
      </c>
      <c r="G131">
        <f>SUM(G128)</f>
        <v>500</v>
      </c>
      <c r="H131">
        <f t="shared" si="20"/>
        <v>600</v>
      </c>
      <c r="I131">
        <f t="shared" si="20"/>
        <v>700</v>
      </c>
      <c r="J131">
        <f t="shared" si="20"/>
        <v>800</v>
      </c>
      <c r="K131" s="1">
        <f>SUM(320)</f>
        <v>320</v>
      </c>
    </row>
    <row r="133" spans="1:11" ht="12.75">
      <c r="A133" t="s">
        <v>40</v>
      </c>
      <c r="B133">
        <f aca="true" t="shared" si="21" ref="B133:J133">SUM(((B128+B131)*0.85)-B131)-60</f>
        <v>164</v>
      </c>
      <c r="C133">
        <f t="shared" si="21"/>
        <v>178</v>
      </c>
      <c r="D133">
        <f t="shared" si="21"/>
        <v>220</v>
      </c>
      <c r="E133">
        <f t="shared" si="21"/>
        <v>238.89999999999998</v>
      </c>
      <c r="F133">
        <f t="shared" si="21"/>
        <v>279.5</v>
      </c>
      <c r="G133">
        <f t="shared" si="21"/>
        <v>290</v>
      </c>
      <c r="H133">
        <f t="shared" si="21"/>
        <v>360</v>
      </c>
      <c r="I133">
        <f t="shared" si="21"/>
        <v>430</v>
      </c>
      <c r="J133">
        <f t="shared" si="21"/>
        <v>500</v>
      </c>
      <c r="K133" t="s">
        <v>4</v>
      </c>
    </row>
    <row r="134" spans="1:11" ht="13.5" thickBot="1">
      <c r="A134" t="s">
        <v>41</v>
      </c>
      <c r="B134" s="23">
        <f aca="true" t="shared" si="22" ref="B134:J134">SUM((((B128+B131)*0.85)-B131)*0.85)-60</f>
        <v>130.4</v>
      </c>
      <c r="C134" s="23">
        <f t="shared" si="22"/>
        <v>142.29999999999998</v>
      </c>
      <c r="D134" s="23">
        <f t="shared" si="22"/>
        <v>178</v>
      </c>
      <c r="E134" s="23">
        <f t="shared" si="22"/>
        <v>194.06499999999997</v>
      </c>
      <c r="F134" s="23">
        <f t="shared" si="22"/>
        <v>228.575</v>
      </c>
      <c r="G134" s="23">
        <f t="shared" si="22"/>
        <v>237.5</v>
      </c>
      <c r="H134" s="23">
        <f t="shared" si="22"/>
        <v>297</v>
      </c>
      <c r="I134" s="23">
        <f t="shared" si="22"/>
        <v>356.5</v>
      </c>
      <c r="J134" s="23">
        <f t="shared" si="22"/>
        <v>416</v>
      </c>
      <c r="K134" t="s">
        <v>5</v>
      </c>
    </row>
    <row r="138" spans="1:11" ht="12.75">
      <c r="A138" t="s">
        <v>6</v>
      </c>
      <c r="B138" s="5">
        <v>100</v>
      </c>
      <c r="C138" s="5">
        <v>100</v>
      </c>
      <c r="D138" s="5">
        <v>100</v>
      </c>
      <c r="E138" s="5">
        <v>100</v>
      </c>
      <c r="F138" s="5">
        <v>100</v>
      </c>
      <c r="G138" s="5">
        <v>100</v>
      </c>
      <c r="H138" s="5">
        <v>100</v>
      </c>
      <c r="I138" s="5">
        <v>100</v>
      </c>
      <c r="J138" s="5">
        <v>100</v>
      </c>
      <c r="K138" s="5" t="s">
        <v>3</v>
      </c>
    </row>
    <row r="139" ht="12.75">
      <c r="K139" s="5" t="s">
        <v>42</v>
      </c>
    </row>
    <row r="141" ht="12.75">
      <c r="A141" s="1" t="s">
        <v>20</v>
      </c>
    </row>
    <row r="142" spans="1:11" ht="12.75">
      <c r="A142" t="s">
        <v>45</v>
      </c>
      <c r="B142">
        <f aca="true" t="shared" si="23" ref="B142:J142">SUM(B128)</f>
        <v>320</v>
      </c>
      <c r="C142">
        <f>SUM(C128)</f>
        <v>340</v>
      </c>
      <c r="D142">
        <f>SUM(D128)</f>
        <v>400</v>
      </c>
      <c r="E142">
        <f>SUM(E128)</f>
        <v>427</v>
      </c>
      <c r="F142">
        <f>SUM(F128)</f>
        <v>485</v>
      </c>
      <c r="G142">
        <f>SUM(G128)</f>
        <v>500</v>
      </c>
      <c r="H142">
        <f t="shared" si="23"/>
        <v>600</v>
      </c>
      <c r="I142">
        <f t="shared" si="23"/>
        <v>700</v>
      </c>
      <c r="J142">
        <f t="shared" si="23"/>
        <v>800</v>
      </c>
      <c r="K142">
        <v>320</v>
      </c>
    </row>
    <row r="143" spans="1:12" ht="12.75">
      <c r="A143" t="s">
        <v>15</v>
      </c>
      <c r="L143" t="s">
        <v>3</v>
      </c>
    </row>
    <row r="144" spans="1:11" ht="12.75">
      <c r="A144" t="s">
        <v>13</v>
      </c>
      <c r="B144">
        <f aca="true" t="shared" si="24" ref="B144:J144">SUM((((0.69*B128)+50+B142)*0.85)-B142)-60</f>
        <v>122.17999999999995</v>
      </c>
      <c r="C144">
        <f t="shared" si="24"/>
        <v>130.90999999999997</v>
      </c>
      <c r="D144">
        <f t="shared" si="24"/>
        <v>157.10000000000002</v>
      </c>
      <c r="E144">
        <f t="shared" si="24"/>
        <v>168.88549999999998</v>
      </c>
      <c r="F144">
        <f t="shared" si="24"/>
        <v>194.2025</v>
      </c>
      <c r="G144">
        <f t="shared" si="24"/>
        <v>200.75</v>
      </c>
      <c r="H144">
        <f t="shared" si="24"/>
        <v>244.39999999999998</v>
      </c>
      <c r="I144">
        <f t="shared" si="24"/>
        <v>288.04999999999995</v>
      </c>
      <c r="J144">
        <f t="shared" si="24"/>
        <v>331.70000000000005</v>
      </c>
      <c r="K144" t="s">
        <v>4</v>
      </c>
    </row>
    <row r="145" spans="1:13" ht="13.5" thickBot="1">
      <c r="A145" s="1" t="s">
        <v>43</v>
      </c>
      <c r="B145" s="19">
        <f aca="true" t="shared" si="25" ref="B145:J145">SUM(((((0.69*B128)+50+B142)*0.85)-B142)*0.85)-60</f>
        <v>94.85299999999995</v>
      </c>
      <c r="C145" s="23">
        <f t="shared" si="25"/>
        <v>102.27349999999996</v>
      </c>
      <c r="D145" s="23">
        <f t="shared" si="25"/>
        <v>124.53500000000003</v>
      </c>
      <c r="E145" s="23">
        <f t="shared" si="25"/>
        <v>134.55267499999997</v>
      </c>
      <c r="F145" s="23">
        <f t="shared" si="25"/>
        <v>156.07212499999997</v>
      </c>
      <c r="G145" s="23">
        <f t="shared" si="25"/>
        <v>161.6375</v>
      </c>
      <c r="H145" s="23">
        <f t="shared" si="25"/>
        <v>198.73999999999995</v>
      </c>
      <c r="I145" s="23">
        <f t="shared" si="25"/>
        <v>235.84249999999997</v>
      </c>
      <c r="J145" s="23">
        <f t="shared" si="25"/>
        <v>272.94500000000005</v>
      </c>
      <c r="K145" t="s">
        <v>5</v>
      </c>
      <c r="M145" s="2" t="s">
        <v>11</v>
      </c>
    </row>
    <row r="146" spans="1:11" ht="13.5" thickBot="1">
      <c r="A146" s="6" t="s">
        <v>44</v>
      </c>
      <c r="B146" s="33">
        <f aca="true" t="shared" si="26" ref="B146:J146">SUM(((((0.69*B128)+50+B142)*0.85)-B142)*0.75)-60</f>
        <v>76.63499999999996</v>
      </c>
      <c r="C146" s="33">
        <f t="shared" si="26"/>
        <v>83.18249999999998</v>
      </c>
      <c r="D146" s="23">
        <f t="shared" si="26"/>
        <v>102.82500000000002</v>
      </c>
      <c r="E146" s="23">
        <f t="shared" si="26"/>
        <v>111.66412499999998</v>
      </c>
      <c r="F146" s="23">
        <f t="shared" si="26"/>
        <v>130.651875</v>
      </c>
      <c r="G146" s="23">
        <f t="shared" si="26"/>
        <v>135.5625</v>
      </c>
      <c r="H146" s="23">
        <f t="shared" si="26"/>
        <v>168.29999999999998</v>
      </c>
      <c r="I146" s="23">
        <f t="shared" si="26"/>
        <v>201.03749999999997</v>
      </c>
      <c r="J146" s="23">
        <f t="shared" si="26"/>
        <v>233.77500000000003</v>
      </c>
      <c r="K146" t="s">
        <v>34</v>
      </c>
    </row>
    <row r="148" spans="1:10" ht="12.75">
      <c r="A148" s="6" t="s">
        <v>35</v>
      </c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1" t="s">
        <v>46</v>
      </c>
      <c r="B149" s="6"/>
      <c r="C149" s="5"/>
      <c r="D149" s="5"/>
      <c r="E149" s="5"/>
      <c r="F149" s="5"/>
      <c r="G149" s="5"/>
      <c r="H149" s="5"/>
      <c r="I149" s="5"/>
      <c r="J149" s="5"/>
    </row>
    <row r="157" ht="12.75">
      <c r="L157" t="s">
        <v>3</v>
      </c>
    </row>
    <row r="159" ht="12.75">
      <c r="M159" s="2" t="s">
        <v>14</v>
      </c>
    </row>
    <row r="161" ht="12.75">
      <c r="M161" s="2"/>
    </row>
  </sheetData>
  <printOptions/>
  <pageMargins left="0.75" right="0.75" top="1" bottom="1" header="0.5" footer="0.5"/>
  <pageSetup horizontalDpi="360" verticalDpi="360" orientation="landscape" scale="80" r:id="rId2"/>
  <rowBreaks count="2" manualBreakCount="2">
    <brk id="100" max="255" man="1"/>
    <brk id="1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7" sqref="D7"/>
    </sheetView>
  </sheetViews>
  <sheetFormatPr defaultColWidth="9.140625" defaultRowHeight="12.75"/>
  <sheetData>
    <row r="2" spans="1:3" ht="12.75">
      <c r="A2" t="s">
        <v>49</v>
      </c>
      <c r="C2" s="7" t="s">
        <v>48</v>
      </c>
    </row>
    <row r="5" spans="2:4" ht="12.75">
      <c r="B5">
        <v>320</v>
      </c>
      <c r="C5">
        <f aca="true" t="shared" si="0" ref="C5:C12">SUM((B5*0.85)+50)</f>
        <v>322</v>
      </c>
      <c r="D5">
        <f aca="true" t="shared" si="1" ref="D5:D12">SUM((B5*0.85))</f>
        <v>272</v>
      </c>
    </row>
    <row r="6" spans="2:4" ht="12.75">
      <c r="B6">
        <v>340</v>
      </c>
      <c r="C6">
        <f t="shared" si="0"/>
        <v>339</v>
      </c>
      <c r="D6">
        <f t="shared" si="1"/>
        <v>289</v>
      </c>
    </row>
    <row r="7" spans="2:4" ht="12.75">
      <c r="B7">
        <v>380</v>
      </c>
      <c r="C7">
        <f t="shared" si="0"/>
        <v>373</v>
      </c>
      <c r="D7">
        <f t="shared" si="1"/>
        <v>323</v>
      </c>
    </row>
    <row r="8" spans="2:4" ht="12.75">
      <c r="B8">
        <v>400</v>
      </c>
      <c r="C8">
        <f t="shared" si="0"/>
        <v>390</v>
      </c>
      <c r="D8">
        <f t="shared" si="1"/>
        <v>340</v>
      </c>
    </row>
    <row r="9" spans="2:4" ht="12.75">
      <c r="B9">
        <v>500</v>
      </c>
      <c r="C9">
        <f t="shared" si="0"/>
        <v>475</v>
      </c>
      <c r="D9">
        <f t="shared" si="1"/>
        <v>425</v>
      </c>
    </row>
    <row r="10" spans="2:4" ht="12.75">
      <c r="B10">
        <v>600</v>
      </c>
      <c r="C10">
        <f t="shared" si="0"/>
        <v>560</v>
      </c>
      <c r="D10">
        <f t="shared" si="1"/>
        <v>510</v>
      </c>
    </row>
    <row r="11" spans="2:4" ht="12.75">
      <c r="B11">
        <v>700</v>
      </c>
      <c r="C11">
        <f t="shared" si="0"/>
        <v>645</v>
      </c>
      <c r="D11">
        <f t="shared" si="1"/>
        <v>595</v>
      </c>
    </row>
    <row r="12" spans="2:4" ht="12.75">
      <c r="B12">
        <v>800</v>
      </c>
      <c r="C12">
        <f t="shared" si="0"/>
        <v>730</v>
      </c>
      <c r="D12">
        <f t="shared" si="1"/>
        <v>680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Aloisi</dc:creator>
  <cp:keywords/>
  <dc:description/>
  <cp:lastModifiedBy>Paul D. Aloisi</cp:lastModifiedBy>
  <cp:lastPrinted>2000-05-18T20:08:30Z</cp:lastPrinted>
  <dcterms:created xsi:type="dcterms:W3CDTF">2000-04-27T10:01:35Z</dcterms:created>
  <dcterms:modified xsi:type="dcterms:W3CDTF">2000-08-17T23:48:39Z</dcterms:modified>
  <cp:category/>
  <cp:version/>
  <cp:contentType/>
  <cp:contentStatus/>
</cp:coreProperties>
</file>